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drawings/drawing1.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comments17.xml" ContentType="application/vnd.openxmlformats-officedocument.spreadsheetml.comments+xml"/>
  <Override PartName="/xl/threadedComments/threadedComment17.xml" ContentType="application/vnd.ms-excel.threadedcomments+xml"/>
  <Override PartName="/xl/comments18.xml" ContentType="application/vnd.openxmlformats-officedocument.spreadsheetml.comments+xml"/>
  <Override PartName="/xl/threadedComments/threadedComment18.xml" ContentType="application/vnd.ms-excel.threadedcomments+xml"/>
  <Override PartName="/xl/drawings/drawing2.xml" ContentType="application/vnd.openxmlformats-officedocument.drawing+xml"/>
  <Override PartName="/xl/comments19.xml" ContentType="application/vnd.openxmlformats-officedocument.spreadsheetml.comments+xml"/>
  <Override PartName="/xl/threadedComments/threadedComment19.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30"/>
  <workbookPr defaultThemeVersion="166925"/>
  <mc:AlternateContent xmlns:mc="http://schemas.openxmlformats.org/markup-compatibility/2006">
    <mc:Choice Requires="x15">
      <x15ac:absPath xmlns:x15ac="http://schemas.microsoft.com/office/spreadsheetml/2010/11/ac" url="https://envisionblockchain-my.sharepoint.com/personal/daniel_norkin_envisionblockchain_com/Documents/Marketing/Clients/UNFCCC/UNFCCC Project Documentation/UNFCCC 16 Methodologies/ACM0001/"/>
    </mc:Choice>
  </mc:AlternateContent>
  <xr:revisionPtr revIDLastSave="565" documentId="13_ncr:1_{BA211B59-E65F-E448-847B-6C2CEF8BCD40}" xr6:coauthVersionLast="47" xr6:coauthVersionMax="47" xr10:uidLastSave="{2B453ED6-468C-D342-9C6A-17F69F2287E9}"/>
  <bookViews>
    <workbookView xWindow="0" yWindow="500" windowWidth="28800" windowHeight="16680" xr2:uid="{EEAF984D-6E22-D242-99C1-029A8AF4668E}"/>
  </bookViews>
  <sheets>
    <sheet name="ACM0001" sheetId="1" r:id="rId1"/>
    <sheet name="Ex ante" sheetId="5" r:id="rId2"/>
    <sheet name="Ex post" sheetId="4" r:id="rId3"/>
    <sheet name="Case 1" sheetId="6" r:id="rId4"/>
    <sheet name="Case 2" sheetId="7" r:id="rId5"/>
    <sheet name="Case 3" sheetId="8" r:id="rId6"/>
    <sheet name="Case 4" sheetId="9" r:id="rId7"/>
    <sheet name="HGE (Other)" sheetId="10" r:id="rId8"/>
    <sheet name="HGE (Kiln)" sheetId="11" r:id="rId9"/>
    <sheet name="Tool 08" sheetId="2" r:id="rId10"/>
    <sheet name="(Revised) Tool 03" sheetId="19" r:id="rId11"/>
    <sheet name="Tool 05.1" sheetId="37" r:id="rId12"/>
    <sheet name="Tool 05.2 Power Plants" sheetId="38" r:id="rId13"/>
    <sheet name="Tool 05.3 Default Values" sheetId="39" r:id="rId14"/>
    <sheet name="Tool 06" sheetId="18" r:id="rId15"/>
    <sheet name="Tool 02" sheetId="25" r:id="rId16"/>
    <sheet name="Tool 04 SWDS-Yearly" sheetId="26" r:id="rId17"/>
    <sheet name="SWDS Emissions Summary Tab " sheetId="27" r:id="rId18"/>
    <sheet name="Tool 04 Dropdown Items" sheetId="28" r:id="rId19"/>
    <sheet name="Tool 09" sheetId="29" r:id="rId20"/>
    <sheet name="Tool 09 Default Values" sheetId="30" r:id="rId21"/>
    <sheet name="Tool 09 Dropdown Items" sheetId="31" r:id="rId22"/>
    <sheet name="Tool 12 Freight Trans" sheetId="32" r:id="rId23"/>
    <sheet name="Tool 12 Emissions Summary Tab" sheetId="33" r:id="rId24"/>
    <sheet name="Tool 12 Dropdown Items" sheetId="34" r:id="rId25"/>
    <sheet name="Tool 32" sheetId="24" r:id="rId26"/>
    <sheet name="IWA Properties" sheetId="36" r:id="rId27"/>
  </sheets>
  <externalReferences>
    <externalReference r:id="rId28"/>
    <externalReference r:id="rId29"/>
    <externalReference r:id="rId30"/>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0" i="1" l="1"/>
  <c r="H75" i="1"/>
  <c r="G35" i="38"/>
  <c r="G34" i="38"/>
  <c r="G32" i="38"/>
  <c r="G31" i="38"/>
  <c r="G23" i="38"/>
  <c r="G22" i="38"/>
  <c r="G20" i="38"/>
  <c r="G19" i="38"/>
  <c r="G11" i="38"/>
  <c r="G10" i="38"/>
  <c r="G8" i="38"/>
  <c r="G4" i="38" s="1"/>
  <c r="G7" i="38"/>
  <c r="G3" i="38" s="1"/>
  <c r="G38" i="37"/>
  <c r="G37" i="37"/>
  <c r="G23" i="37"/>
  <c r="G22" i="37"/>
  <c r="G17" i="37"/>
  <c r="G16" i="37"/>
  <c r="G12" i="37"/>
  <c r="G11" i="37"/>
  <c r="G7" i="37"/>
  <c r="G6" i="37"/>
  <c r="H29" i="1" l="1"/>
  <c r="C17" i="32" l="1"/>
  <c r="I13" i="33" l="1"/>
  <c r="I17" i="33" s="1"/>
  <c r="H13" i="33"/>
  <c r="G13" i="33"/>
  <c r="F13" i="33"/>
  <c r="E13" i="33"/>
  <c r="D13" i="33"/>
  <c r="C13" i="33"/>
  <c r="B13" i="33"/>
  <c r="I3" i="33"/>
  <c r="I7" i="33" s="1"/>
  <c r="H3" i="33"/>
  <c r="G3" i="33"/>
  <c r="F3" i="33"/>
  <c r="E3" i="33"/>
  <c r="D3" i="33"/>
  <c r="C3" i="33"/>
  <c r="B3" i="33"/>
  <c r="A3" i="33"/>
  <c r="D21" i="32"/>
  <c r="D20" i="32"/>
  <c r="C20" i="32"/>
  <c r="C21" i="32" s="1"/>
  <c r="D19" i="32"/>
  <c r="D18" i="32"/>
  <c r="D17" i="32"/>
  <c r="D16" i="32"/>
  <c r="D15" i="32"/>
  <c r="D14" i="32"/>
  <c r="D25" i="29"/>
  <c r="D24" i="29"/>
  <c r="D23" i="29"/>
  <c r="D22" i="29"/>
  <c r="D21" i="29"/>
  <c r="D20" i="29"/>
  <c r="D19" i="29"/>
  <c r="D18" i="29"/>
  <c r="D17" i="29"/>
  <c r="D16" i="29"/>
  <c r="D15" i="29"/>
  <c r="D14" i="29"/>
  <c r="C26" i="29" s="1"/>
  <c r="D13" i="29"/>
  <c r="D12" i="29"/>
  <c r="D11" i="29"/>
  <c r="D10" i="29"/>
  <c r="D9" i="29"/>
  <c r="D8" i="29"/>
  <c r="D7" i="29"/>
  <c r="D5" i="29"/>
  <c r="D4" i="29"/>
  <c r="D2" i="27"/>
  <c r="D8" i="27" s="1"/>
  <c r="C2" i="27"/>
  <c r="C8" i="27" s="1"/>
  <c r="B2" i="27"/>
  <c r="B8" i="27" s="1"/>
  <c r="C85" i="26"/>
  <c r="C84" i="26"/>
  <c r="D71" i="26"/>
  <c r="D69" i="26"/>
  <c r="C69" i="26"/>
  <c r="C83" i="26" s="1"/>
  <c r="D66" i="26"/>
  <c r="C66" i="26"/>
  <c r="D65" i="26"/>
  <c r="D64" i="26"/>
  <c r="D62" i="26"/>
  <c r="C62" i="26"/>
  <c r="C82" i="26" s="1"/>
  <c r="D59" i="26"/>
  <c r="C59" i="26"/>
  <c r="C75" i="26" s="1"/>
  <c r="D58" i="26"/>
  <c r="D57" i="26"/>
  <c r="D56" i="26"/>
  <c r="D54" i="26"/>
  <c r="C54" i="26"/>
  <c r="D53" i="26"/>
  <c r="D52" i="26"/>
  <c r="D51" i="26"/>
  <c r="D50" i="26"/>
  <c r="D48" i="26"/>
  <c r="C48" i="26"/>
  <c r="D45" i="26"/>
  <c r="D44" i="26"/>
  <c r="C44" i="26"/>
  <c r="C45" i="26" s="1"/>
  <c r="C76" i="26" s="1"/>
  <c r="D43" i="26"/>
  <c r="D42" i="26"/>
  <c r="D40" i="26"/>
  <c r="D38" i="26"/>
  <c r="D35" i="26"/>
  <c r="C35" i="26"/>
  <c r="D34" i="26"/>
  <c r="C34" i="26"/>
  <c r="D33" i="26"/>
  <c r="C33" i="26"/>
  <c r="D32" i="26"/>
  <c r="C32" i="26"/>
  <c r="D31" i="26"/>
  <c r="C31" i="26"/>
  <c r="D30" i="26"/>
  <c r="C30" i="26"/>
  <c r="D29" i="26"/>
  <c r="C29" i="26"/>
  <c r="D28" i="26"/>
  <c r="C28" i="26"/>
  <c r="D26" i="26"/>
  <c r="C26" i="26"/>
  <c r="C77" i="26" s="1"/>
  <c r="C86" i="26" s="1"/>
  <c r="D22" i="26"/>
  <c r="D21" i="26"/>
  <c r="D19" i="26"/>
  <c r="D18" i="26"/>
  <c r="D17" i="26"/>
  <c r="D16" i="26"/>
  <c r="D15" i="26"/>
  <c r="D14" i="26"/>
  <c r="D13" i="26"/>
  <c r="D12" i="26"/>
  <c r="D11" i="26"/>
  <c r="H76" i="1" l="1"/>
  <c r="G37" i="19"/>
  <c r="G33" i="19"/>
  <c r="G32" i="19"/>
  <c r="G30" i="19"/>
  <c r="G28" i="19" s="1"/>
  <c r="G19" i="19"/>
  <c r="G15" i="19"/>
  <c r="G14" i="19"/>
  <c r="G12" i="19" s="1"/>
  <c r="G10" i="19" l="1"/>
  <c r="G3" i="19"/>
  <c r="F9" i="4"/>
  <c r="F66" i="18"/>
  <c r="F64" i="18"/>
  <c r="F50" i="18"/>
  <c r="F48" i="18"/>
  <c r="F67" i="18" s="1"/>
  <c r="F47" i="18"/>
  <c r="F45" i="18" s="1"/>
  <c r="F44" i="18" s="1"/>
  <c r="F65" i="18" l="1"/>
  <c r="F62" i="18" s="1"/>
  <c r="F60" i="18"/>
  <c r="F61" i="18" l="1"/>
  <c r="F58" i="18" s="1"/>
  <c r="F59" i="18" l="1"/>
  <c r="F57" i="18" s="1"/>
  <c r="F56" i="18" s="1"/>
  <c r="F54" i="18" s="1"/>
  <c r="F52" i="18" s="1"/>
  <c r="F69" i="18" s="1"/>
  <c r="F90" i="2" l="1"/>
  <c r="F82" i="2"/>
  <c r="F75" i="2" s="1"/>
  <c r="F77" i="2"/>
  <c r="F65" i="2"/>
  <c r="F42" i="2"/>
  <c r="F113" i="2"/>
  <c r="F108" i="2"/>
  <c r="F95" i="2" s="1"/>
  <c r="F94" i="2" s="1"/>
  <c r="F88" i="2" s="1"/>
  <c r="F16" i="7"/>
  <c r="H66" i="1"/>
  <c r="H65" i="1" s="1"/>
  <c r="H57" i="1"/>
  <c r="H56" i="1" s="1"/>
  <c r="H41" i="1" s="1"/>
  <c r="F53" i="2"/>
  <c r="F55" i="2"/>
  <c r="F33" i="2"/>
  <c r="F30" i="2" s="1"/>
  <c r="H42" i="1"/>
  <c r="H78" i="1"/>
  <c r="H80" i="1"/>
  <c r="H77" i="1" s="1"/>
  <c r="F3" i="10"/>
  <c r="F9" i="7"/>
  <c r="F3" i="7"/>
  <c r="F7" i="9"/>
  <c r="F16" i="8"/>
  <c r="F11" i="8"/>
  <c r="F10" i="8" s="1"/>
  <c r="F7" i="8"/>
  <c r="F3" i="8"/>
  <c r="F3" i="5"/>
  <c r="F4" i="4"/>
  <c r="F100" i="2" l="1"/>
  <c r="F99" i="2" s="1"/>
  <c r="F97" i="2" s="1"/>
  <c r="F72" i="2"/>
  <c r="F71" i="2" s="1"/>
  <c r="F63" i="2" s="1"/>
  <c r="F62" i="2" s="1"/>
  <c r="F50" i="2"/>
  <c r="F48" i="2" s="1"/>
  <c r="F106" i="2"/>
  <c r="F102" i="2" s="1"/>
  <c r="F52" i="2"/>
  <c r="H74" i="1"/>
  <c r="H86" i="1" s="1"/>
  <c r="F5" i="9"/>
  <c r="F3" i="9" s="1"/>
  <c r="F3" i="4"/>
  <c r="H43" i="1" s="1"/>
  <c r="H39" i="1" s="1"/>
  <c r="H38" i="1" s="1"/>
  <c r="H85" i="1" s="1"/>
  <c r="H84" i="1" l="1"/>
  <c r="F40" i="2"/>
  <c r="F39" i="2" s="1"/>
  <c r="F87" i="2" s="1"/>
  <c r="F7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tc={8E676EBE-E70F-4A43-99D6-03677D85E8AE}</author>
    <author>tc={4AFE3DC9-8E14-1542-AF44-550818A8FF3F}</author>
    <author>tc={8BBF9054-6D9E-784C-84F4-A1E8316D2F69}</author>
    <author>tc={BE0812C9-182E-E84E-A3A1-AE919F4E6ADA}</author>
    <author>tc={1E178A8C-8537-6D41-B9F5-CEAEC60E759F}</author>
    <author>tc={EAD5BD93-4CBC-ED45-9BDB-D4A64F3A7C6C}</author>
    <author>tc={EF83F220-9E1E-D94A-AF98-A48069DCB059}</author>
    <author>tc={07EDB2B6-6874-7E4A-BB89-1796351F2D14}</author>
    <author>tc={798EAA8B-4C35-9D41-A424-543B0B48E1B0}</author>
    <author>tc={E1FCD2E7-77C9-F543-BEA9-2076D7D50AF6}</author>
    <author>tc={9B21D698-BBA4-A24F-9F60-8C6C4D11D49D}</author>
    <author>tc={C7329786-4DDC-8E4E-9C0C-1C6504E6C197}</author>
    <author>tc={6840592D-6B8B-EE4F-9DF7-61F2A62FD244}</author>
    <author>tc={DEB071F2-C935-1B49-95FC-A9CADC7E3D0E}</author>
    <author>tc={9D76605E-A38B-1442-9D67-24F0948C1EC6}</author>
    <author>tc={15C8198E-7301-C44E-B4BD-F687E33767FC}</author>
    <author>tc={28417E73-76A0-9146-906C-23B4A11F863A}</author>
    <author>tc={664FCC14-B4E7-5B43-A058-4CE0B00EA835}</author>
    <author>tc={C6CFC952-940E-CB49-A4F1-A53EC41968C7}</author>
    <author>tc={AECE1878-9D2F-594A-9E8D-A862E142EE0D}</author>
    <author>tc={A5E70218-C39E-364B-B215-D6F431658311}</author>
    <author>tc={FC50D4BC-4425-C642-A203-4FFF3C88FFD0}</author>
  </authors>
  <commentList>
    <comment ref="G35" authorId="0" shapeId="0" xr:uid="{8E676EBE-E70F-4A43-99D6-03677D85E8AE}">
      <text>
        <t>[Threaded comment]
Your version of Excel allows you to read this threaded comment; however, any edits to it will get removed if the file is opened in a newer version of Excel. Learn more: https://go.microsoft.com/fwlink/?linkid=870924
Comment:
    TOOL15</t>
      </text>
    </comment>
    <comment ref="G38" authorId="1" shapeId="0" xr:uid="{4AFE3DC9-8E14-1542-AF44-550818A8FF3F}">
      <text>
        <t>[Threaded comment]
Your version of Excel allows you to read this threaded comment; however, any edits to it will get removed if the file is opened in a newer version of Excel. Learn more: https://go.microsoft.com/fwlink/?linkid=870924
Comment:
    Eq 1</t>
      </text>
    </comment>
    <comment ref="G39" authorId="2" shapeId="0" xr:uid="{8BBF9054-6D9E-784C-84F4-A1E8316D2F69}">
      <text>
        <t>[Threaded comment]
Your version of Excel allows you to read this threaded comment; however, any edits to it will get removed if the file is opened in a newer version of Excel. Learn more: https://go.microsoft.com/fwlink/?linkid=870924
Comment:
    Eq 2</t>
      </text>
    </comment>
    <comment ref="G40" authorId="3" shapeId="0" xr:uid="{BE0812C9-182E-E84E-A3A1-AE919F4E6ADA}">
      <text>
        <t>[Threaded comment]
Your version of Excel allows you to read this threaded comment; however, any edits to it will get removed if the file is opened in a newer version of Excel. Learn more: https://go.microsoft.com/fwlink/?linkid=870924
Comment:
    TOOL05</t>
      </text>
    </comment>
    <comment ref="G41" authorId="4" shapeId="0" xr:uid="{1E178A8C-8537-6D41-B9F5-CEAEC60E759F}">
      <text>
        <t>[Threaded comment]
Your version of Excel allows you to read this threaded comment; however, any edits to it will get removed if the file is opened in a newer version of Excel. Learn more: https://go.microsoft.com/fwlink/?linkid=870924
Comment:
    Eq 17</t>
      </text>
    </comment>
    <comment ref="G42" authorId="5" shapeId="0" xr:uid="{EAD5BD93-4CBC-ED45-9BDB-D4A64F3A7C6C}">
      <text>
        <t>[Threaded comment]
Your version of Excel allows you to read this threaded comment; however, any edits to it will get removed if the file is opened in a newer version of Excel. Learn more: https://go.microsoft.com/fwlink/?linkid=870924
Comment:
    Eq 21</t>
      </text>
    </comment>
    <comment ref="G46" authorId="6" shapeId="0" xr:uid="{EF83F220-9E1E-D94A-AF98-A48069DCB059}">
      <text>
        <t>[Threaded comment]
Your version of Excel allows you to read this threaded comment; however, any edits to it will get removed if the file is opened in a newer version of Excel. Learn more: https://go.microsoft.com/fwlink/?linkid=870924
Comment:
    TOOL09</t>
      </text>
    </comment>
    <comment ref="G49" authorId="7" shapeId="0" xr:uid="{07EDB2B6-6874-7E4A-BB89-1796351F2D14}">
      <text>
        <t>[Threaded comment]
Your version of Excel allows you to read this threaded comment; however, any edits to it will get removed if the file is opened in a newer version of Excel. Learn more: https://go.microsoft.com/fwlink/?linkid=870924
Comment:
    TOOL03</t>
      </text>
    </comment>
    <comment ref="G50" authorId="8" shapeId="0" xr:uid="{798EAA8B-4C35-9D41-A424-543B0B48E1B0}">
      <text>
        <t>[Threaded comment]
Your version of Excel allows you to read this threaded comment; however, any edits to it will get removed if the file is opened in a newer version of Excel. Learn more: https://go.microsoft.com/fwlink/?linkid=870924
Comment:
    TOOL08</t>
      </text>
    </comment>
    <comment ref="G56" authorId="9" shapeId="0" xr:uid="{E1FCD2E7-77C9-F543-BEA9-2076D7D50AF6}">
      <text>
        <t>[Threaded comment]
Your version of Excel allows you to read this threaded comment; however, any edits to it will get removed if the file is opened in a newer version of Excel. Learn more: https://go.microsoft.com/fwlink/?linkid=870924
Comment:
    Eq 17</t>
      </text>
    </comment>
    <comment ref="G57" authorId="10" shapeId="0" xr:uid="{9B21D698-BBA4-A24F-9F60-8C6C4D11D49D}">
      <text>
        <t>[Threaded comment]
Your version of Excel allows you to read this threaded comment; however, any edits to it will get removed if the file is opened in a newer version of Excel. Learn more: https://go.microsoft.com/fwlink/?linkid=870924
Comment:
    Eq 18</t>
      </text>
    </comment>
    <comment ref="G61" authorId="11" shapeId="0" xr:uid="{C7329786-4DDC-8E4E-9C0C-1C6504E6C197}">
      <text>
        <t>[Threaded comment]
Your version of Excel allows you to read this threaded comment; however, any edits to it will get removed if the file is opened in a newer version of Excel. Learn more: https://go.microsoft.com/fwlink/?linkid=870924
Comment:
    TOOL09</t>
      </text>
    </comment>
    <comment ref="G65" authorId="12" shapeId="0" xr:uid="{6840592D-6B8B-EE4F-9DF7-61F2A62FD244}">
      <text>
        <t>[Threaded comment]
Your version of Excel allows you to read this threaded comment; however, any edits to it will get removed if the file is opened in a newer version of Excel. Learn more: https://go.microsoft.com/fwlink/?linkid=870924
Comment:
    Eq 17</t>
      </text>
    </comment>
    <comment ref="G66" authorId="13" shapeId="0" xr:uid="{DEB071F2-C935-1B49-95FC-A9CADC7E3D0E}">
      <text>
        <t>[Threaded comment]
Your version of Excel allows you to read this threaded comment; however, any edits to it will get removed if the file is opened in a newer version of Excel. Learn more: https://go.microsoft.com/fwlink/?linkid=870924
Comment:
    Eq 18</t>
      </text>
    </comment>
    <comment ref="G70" authorId="14" shapeId="0" xr:uid="{9D76605E-A38B-1442-9D67-24F0948C1EC6}">
      <text>
        <t>[Threaded comment]
Your version of Excel allows you to read this threaded comment; however, any edits to it will get removed if the file is opened in a newer version of Excel. Learn more: https://go.microsoft.com/fwlink/?linkid=870924
Comment:
    TOOL09</t>
      </text>
    </comment>
    <comment ref="G74" authorId="15" shapeId="0" xr:uid="{15C8198E-7301-C44E-B4BD-F687E33767FC}">
      <text>
        <t>[Threaded comment]
Your version of Excel allows you to read this threaded comment; however, any edits to it will get removed if the file is opened in a newer version of Excel. Learn more: https://go.microsoft.com/fwlink/?linkid=870924
Comment:
    Eq 22</t>
      </text>
    </comment>
    <comment ref="G75" authorId="16" shapeId="0" xr:uid="{28417E73-76A0-9146-906C-23B4A11F863A}">
      <text>
        <t>[Threaded comment]
Your version of Excel allows you to read this threaded comment; however, any edits to it will get removed if the file is opened in a newer version of Excel. Learn more: https://go.microsoft.com/fwlink/?linkid=870924
Comment:
    TOOL05</t>
      </text>
    </comment>
    <comment ref="G76" authorId="17" shapeId="0" xr:uid="{664FCC14-B4E7-5B43-A058-4CE0B00EA835}">
      <text>
        <t>[Threaded comment]
Your version of Excel allows you to read this threaded comment; however, any edits to it will get removed if the file is opened in a newer version of Excel. Learn more: https://go.microsoft.com/fwlink/?linkid=870924
Comment:
    TOOL03</t>
      </text>
    </comment>
    <comment ref="G77" authorId="18" shapeId="0" xr:uid="{C6CFC952-940E-CB49-A4F1-A53EC41968C7}">
      <text>
        <t>[Threaded comment]
Your version of Excel allows you to read this threaded comment; however, any edits to it will get removed if the file is opened in a newer version of Excel. Learn more: https://go.microsoft.com/fwlink/?linkid=870924
Comment:
    Eq 23</t>
      </text>
    </comment>
    <comment ref="G78" authorId="19" shapeId="0" xr:uid="{AECE1878-9D2F-594A-9E8D-A862E142EE0D}">
      <text>
        <t>[Threaded comment]
Your version of Excel allows you to read this threaded comment; however, any edits to it will get removed if the file is opened in a newer version of Excel. Learn more: https://go.microsoft.com/fwlink/?linkid=870924
Comment:
    Eq 25</t>
      </text>
    </comment>
    <comment ref="G79" authorId="20" shapeId="0" xr:uid="{A5E70218-C39E-364B-B215-D6F431658311}">
      <text>
        <t>[Threaded comment]
Your version of Excel allows you to read this threaded comment; however, any edits to it will get removed if the file is opened in a newer version of Excel. Learn more: https://go.microsoft.com/fwlink/?linkid=870924
Comment:
    TOOL12</t>
      </text>
    </comment>
    <comment ref="G80" authorId="21" shapeId="0" xr:uid="{FC50D4BC-4425-C642-A203-4FFF3C88FFD0}">
      <text>
        <t>[Threaded comment]
Your version of Excel allows you to read this threaded comment; however, any edits to it will get removed if the file is opened in a newer version of Excel. Learn more: https://go.microsoft.com/fwlink/?linkid=870924
Comment:
    Eq 24</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tc={2E5B0C44-CFD6-E44F-B4D3-0B3A5A95A49F}</author>
    <author>tc={340FA998-D4F2-0A42-ACE8-E1F920CFAECC}</author>
    <author>tc={4812034A-5AD7-BC4B-9FEA-B2A2FC8EE2BD}</author>
    <author>tc={038B3683-EC5D-6944-9276-0FBEDB39B4DF}</author>
    <author>tc={01C0953A-FE19-1742-995E-04C219A4D85D}</author>
    <author>tc={A6A07FE3-CA99-8543-B519-62DCA4C36A9A}</author>
    <author>tc={2B8407EC-2FF2-8E44-BB46-C4D0499E8747}</author>
    <author>tc={2E55239D-DAA6-7F40-A795-E165663A2FCD}</author>
    <author>tc={B34301C9-911F-A24C-8555-A89FE9726D14}</author>
    <author>tc={0CB37208-6B24-A041-A0CD-B11902792A03}</author>
    <author>tc={6F52A80F-A35E-2D4C-A361-FFD4A499635A}</author>
    <author>tc={B0CB3C7A-0B67-7341-B070-3793D97DED79}</author>
    <author>tc={58D0C3CC-04AD-8540-979D-02A02AB5726E}</author>
    <author>tc={9E073B9D-5479-DF45-9078-EDA6D80A94EC}</author>
    <author>tc={32A07A1C-946D-2B44-A292-80A42BFBC1E9}</author>
    <author>tc={97FB7FE1-2A55-B944-9B55-B7A722FB7F62}</author>
    <author>tc={211C1A62-EED0-8942-9033-7D5823C68A55}</author>
    <author>tc={0DFF62B8-41A7-3548-A759-13CCE0BB266B}</author>
    <author>tc={AE773CA4-7173-0549-B60F-0B7D3661312B}</author>
    <author>tc={B40A89E6-52D8-664E-8B8A-5C01D8AE17CE}</author>
    <author>tc={B087C380-7744-C146-B574-00D0C519BD80}</author>
    <author>tc={37DF4233-C887-2543-8B7A-ABDC6B335605}</author>
    <author>tc={65C3AF71-E360-654D-AFC3-42D89022ED81}</author>
    <author>tc={B9F49C56-1B0D-DA4C-B3AA-829F4DA530FD}</author>
    <author>tc={8E234E0F-AB63-834C-8B21-D52EE164F7DD}</author>
    <author>tc={2D477AD7-7208-B744-AF56-3461E0C8A85B}</author>
    <author>tc={756AA49D-3B63-5D4F-892A-C7E92E9420A6}</author>
    <author>tc={B5AD9F14-3D5E-FC4B-AF93-C4221BB0E19E}</author>
    <author>tc={7F633844-6F60-FA44-BF18-CEF17E25BBF1}</author>
    <author>tc={237A32F7-1D0E-3546-AAA2-D2708ACBF79F}</author>
    <author>tc={5757FCE4-D3D2-E04F-ABE1-E429479DCC13}</author>
  </authors>
  <commentList>
    <comment ref="D30" authorId="0" shapeId="0" xr:uid="{2E5B0C44-CFD6-E44F-B4D3-0B3A5A95A49F}">
      <text>
        <t>[Threaded comment]
Your version of Excel allows you to read this threaded comment; however, any edits to it will get removed if the file is opened in a newer version of Excel. Learn more: https://go.microsoft.com/fwlink/?linkid=870924
Comment:
    Eq 5</t>
      </text>
    </comment>
    <comment ref="D33" authorId="1" shapeId="0" xr:uid="{340FA998-D4F2-0A42-ACE8-E1F920CFAECC}">
      <text>
        <t>[Threaded comment]
Your version of Excel allows you to read this threaded comment; however, any edits to it will get removed if the file is opened in a newer version of Excel. Learn more: https://go.microsoft.com/fwlink/?linkid=870924
Comment:
    Eq 6</t>
      </text>
    </comment>
    <comment ref="D39" authorId="2" shapeId="0" xr:uid="{4812034A-5AD7-BC4B-9FEA-B2A2FC8EE2BD}">
      <text>
        <t>[Threaded comment]
Your version of Excel allows you to read this threaded comment; however, any edits to it will get removed if the file is opened in a newer version of Excel. Learn more: https://go.microsoft.com/fwlink/?linkid=870924
Comment:
    Eq 5</t>
      </text>
    </comment>
    <comment ref="D40" authorId="3" shapeId="0" xr:uid="{038B3683-EC5D-6944-9276-0FBEDB39B4DF}">
      <text>
        <t>[Threaded comment]
Your version of Excel allows you to read this threaded comment; however, any edits to it will get removed if the file is opened in a newer version of Excel. Learn more: https://go.microsoft.com/fwlink/?linkid=870924
Comment:
    Eq 7</t>
      </text>
    </comment>
    <comment ref="D42" authorId="4" shapeId="0" xr:uid="{01C0953A-FE19-1742-995E-04C219A4D85D}">
      <text>
        <t>[Threaded comment]
Your version of Excel allows you to read this threaded comment; however, any edits to it will get removed if the file is opened in a newer version of Excel. Learn more: https://go.microsoft.com/fwlink/?linkid=870924
Comment:
    Eq 6</t>
      </text>
    </comment>
    <comment ref="D48" authorId="5" shapeId="0" xr:uid="{A6A07FE3-CA99-8543-B519-62DCA4C36A9A}">
      <text>
        <t>[Threaded comment]
Your version of Excel allows you to read this threaded comment; however, any edits to it will get removed if the file is opened in a newer version of Excel. Learn more: https://go.microsoft.com/fwlink/?linkid=870924
Comment:
    Eq 8</t>
      </text>
    </comment>
    <comment ref="D50" authorId="6" shapeId="0" xr:uid="{2B8407EC-2FF2-8E44-BB46-C4D0499E8747}">
      <text>
        <t>[Threaded comment]
Your version of Excel allows you to read this threaded comment; however, any edits to it will get removed if the file is opened in a newer version of Excel. Learn more: https://go.microsoft.com/fwlink/?linkid=870924
Comment:
    Eq 3</t>
      </text>
    </comment>
    <comment ref="D52" authorId="7" shapeId="0" xr:uid="{2E55239D-DAA6-7F40-A795-E165663A2FCD}">
      <text>
        <t>[Threaded comment]
Your version of Excel allows you to read this threaded comment; however, any edits to it will get removed if the file is opened in a newer version of Excel. Learn more: https://go.microsoft.com/fwlink/?linkid=870924
Comment:
    Eq 9</t>
      </text>
    </comment>
    <comment ref="D53" authorId="8" shapeId="0" xr:uid="{B34301C9-911F-A24C-8555-A89FE9726D14}">
      <text>
        <t>[Threaded comment]
Your version of Excel allows you to read this threaded comment; however, any edits to it will get removed if the file is opened in a newer version of Excel. Learn more: https://go.microsoft.com/fwlink/?linkid=870924
Comment:
    Eq 11</t>
      </text>
    </comment>
    <comment ref="D55" authorId="9" shapeId="0" xr:uid="{0CB37208-6B24-A041-A0CD-B11902792A03}">
      <text>
        <t>[Threaded comment]
Your version of Excel allows you to read this threaded comment; however, any edits to it will get removed if the file is opened in a newer version of Excel. Learn more: https://go.microsoft.com/fwlink/?linkid=870924
Comment:
    Eq 10</t>
      </text>
    </comment>
    <comment ref="D62" authorId="10" shapeId="0" xr:uid="{6F52A80F-A35E-2D4C-A361-FFD4A499635A}">
      <text>
        <t>[Threaded comment]
Your version of Excel allows you to read this threaded comment; however, any edits to it will get removed if the file is opened in a newer version of Excel. Learn more: https://go.microsoft.com/fwlink/?linkid=870924
Comment:
    Eq 5</t>
      </text>
    </comment>
    <comment ref="D63" authorId="11" shapeId="0" xr:uid="{B0CB3C7A-0B67-7341-B070-3793D97DED79}">
      <text>
        <t>[Threaded comment]
Your version of Excel allows you to read this threaded comment; however, any edits to it will get removed if the file is opened in a newer version of Excel. Learn more: https://go.microsoft.com/fwlink/?linkid=870924
Comment:
    Eq 12</t>
      </text>
    </comment>
    <comment ref="D65" authorId="12" shapeId="0" xr:uid="{58D0C3CC-04AD-8540-979D-02A02AB5726E}">
      <text>
        <t>[Threaded comment]
Your version of Excel allows you to read this threaded comment; however, any edits to it will get removed if the file is opened in a newer version of Excel. Learn more: https://go.microsoft.com/fwlink/?linkid=870924
Comment:
    Eq 6</t>
      </text>
    </comment>
    <comment ref="D71" authorId="13" shapeId="0" xr:uid="{9E073B9D-5479-DF45-9078-EDA6D80A94EC}">
      <text>
        <t>[Threaded comment]
Your version of Excel allows you to read this threaded comment; however, any edits to it will get removed if the file is opened in a newer version of Excel. Learn more: https://go.microsoft.com/fwlink/?linkid=870924
Comment:
    Eq 13</t>
      </text>
    </comment>
    <comment ref="D72" authorId="14" shapeId="0" xr:uid="{32A07A1C-946D-2B44-A292-80A42BFBC1E9}">
      <text>
        <t>[Threaded comment]
Your version of Excel allows you to read this threaded comment; however, any edits to it will get removed if the file is opened in a newer version of Excel. Learn more: https://go.microsoft.com/fwlink/?linkid=870924
Comment:
    Eq 3</t>
      </text>
    </comment>
    <comment ref="D74" authorId="15" shapeId="0" xr:uid="{97FB7FE1-2A55-B944-9B55-B7A722FB7F62}">
      <text>
        <t>[Threaded comment]
Your version of Excel allows you to read this threaded comment; however, any edits to it will get removed if the file is opened in a newer version of Excel. Learn more: https://go.microsoft.com/fwlink/?linkid=870924
Comment:
    Eq 5</t>
      </text>
    </comment>
    <comment ref="D75" authorId="16" shapeId="0" xr:uid="{211C1A62-EED0-8942-9033-7D5823C68A55}">
      <text>
        <t>[Threaded comment]
Your version of Excel allows you to read this threaded comment; however, any edits to it will get removed if the file is opened in a newer version of Excel. Learn more: https://go.microsoft.com/fwlink/?linkid=870924
Comment:
    Eq 12</t>
      </text>
    </comment>
    <comment ref="D77" authorId="17" shapeId="0" xr:uid="{0DFF62B8-41A7-3548-A759-13CCE0BB266B}">
      <text>
        <t>[Threaded comment]
Your version of Excel allows you to read this threaded comment; however, any edits to it will get removed if the file is opened in a newer version of Excel. Learn more: https://go.microsoft.com/fwlink/?linkid=870924
Comment:
    Eq 6</t>
      </text>
    </comment>
    <comment ref="D82" authorId="18" shapeId="0" xr:uid="{AE773CA4-7173-0549-B60F-0B7D3661312B}">
      <text>
        <t>[Threaded comment]
Your version of Excel allows you to read this threaded comment; however, any edits to it will get removed if the file is opened in a newer version of Excel. Learn more: https://go.microsoft.com/fwlink/?linkid=870924
Comment:
    Eq 14</t>
      </text>
    </comment>
    <comment ref="D87" authorId="19" shapeId="0" xr:uid="{B40A89E6-52D8-664E-8B8A-5C01D8AE17CE}">
      <text>
        <t>[Threaded comment]
Your version of Excel allows you to read this threaded comment; however, any edits to it will get removed if the file is opened in a newer version of Excel. Learn more: https://go.microsoft.com/fwlink/?linkid=870924
Comment:
    Eq 9</t>
      </text>
    </comment>
    <comment ref="D88" authorId="20" shapeId="0" xr:uid="{B087C380-7744-C146-B574-00D0C519BD80}">
      <text>
        <t>[Threaded comment]
Your version of Excel allows you to read this threaded comment; however, any edits to it will get removed if the file is opened in a newer version of Excel. Learn more: https://go.microsoft.com/fwlink/?linkid=870924
Comment:
    Eq 15</t>
      </text>
    </comment>
    <comment ref="D90" authorId="21" shapeId="0" xr:uid="{37DF4233-C887-2543-8B7A-ABDC6B335605}">
      <text>
        <t>[Threaded comment]
Your version of Excel allows you to read this threaded comment; however, any edits to it will get removed if the file is opened in a newer version of Excel. Learn more: https://go.microsoft.com/fwlink/?linkid=870924
Comment:
    Eq 10</t>
      </text>
    </comment>
    <comment ref="D94" authorId="22" shapeId="0" xr:uid="{65C3AF71-E360-654D-AFC3-42D89022ED81}">
      <text>
        <t>[Threaded comment]
Your version of Excel allows you to read this threaded comment; however, any edits to it will get removed if the file is opened in a newer version of Excel. Learn more: https://go.microsoft.com/fwlink/?linkid=870924
Comment:
    Eq 16</t>
      </text>
    </comment>
    <comment ref="D95" authorId="23" shapeId="0" xr:uid="{B9F49C56-1B0D-DA4C-B3AA-829F4DA530FD}">
      <text>
        <t>[Threaded comment]
Your version of Excel allows you to read this threaded comment; however, any edits to it will get removed if the file is opened in a newer version of Excel. Learn more: https://go.microsoft.com/fwlink/?linkid=870924
Comment:
    Eq 17</t>
      </text>
    </comment>
    <comment ref="D97" authorId="24" shapeId="0" xr:uid="{8E234E0F-AB63-834C-8B21-D52EE164F7DD}">
      <text>
        <t>[Threaded comment]
Your version of Excel allows you to read this threaded comment; however, any edits to it will get removed if the file is opened in a newer version of Excel. Learn more: https://go.microsoft.com/fwlink/?linkid=870924
Comment:
    Eq 1</t>
      </text>
    </comment>
    <comment ref="D99" authorId="25" shapeId="0" xr:uid="{2D477AD7-7208-B744-AF56-3461E0C8A85B}">
      <text>
        <t>[Threaded comment]
Your version of Excel allows you to read this threaded comment; however, any edits to it will get removed if the file is opened in a newer version of Excel. Learn more: https://go.microsoft.com/fwlink/?linkid=870924
Comment:
    Eq 2</t>
      </text>
    </comment>
    <comment ref="D100" authorId="26" shapeId="0" xr:uid="{756AA49D-3B63-5D4F-892A-C7E92E9420A6}">
      <text>
        <t>[Threaded comment]
Your version of Excel allows you to read this threaded comment; however, any edits to it will get removed if the file is opened in a newer version of Excel. Learn more: https://go.microsoft.com/fwlink/?linkid=870924
Comment:
    Eq 3</t>
      </text>
    </comment>
    <comment ref="D102" authorId="27" shapeId="0" xr:uid="{B5AD9F14-3D5E-FC4B-AF93-C4221BB0E19E}">
      <text>
        <t>[Threaded comment]
Your version of Excel allows you to read this threaded comment; however, any edits to it will get removed if the file is opened in a newer version of Excel. Learn more: https://go.microsoft.com/fwlink/?linkid=870924
Comment:
    Eq 4</t>
      </text>
    </comment>
    <comment ref="D106" authorId="28" shapeId="0" xr:uid="{7F633844-6F60-FA44-BF18-CEF17E25BBF1}">
      <text>
        <t>[Threaded comment]
Your version of Excel allows you to read this threaded comment; however, any edits to it will get removed if the file is opened in a newer version of Excel. Learn more: https://go.microsoft.com/fwlink/?linkid=870924
Comment:
    Eq 3</t>
      </text>
    </comment>
    <comment ref="D108" authorId="29" shapeId="0" xr:uid="{237A32F7-1D0E-3546-AAA2-D2708ACBF79F}">
      <text>
        <t>[Threaded comment]
Your version of Excel allows you to read this threaded comment; however, any edits to it will get removed if the file is opened in a newer version of Excel. Learn more: https://go.microsoft.com/fwlink/?linkid=870924
Comment:
    Eq 3 &amp; 17</t>
      </text>
    </comment>
    <comment ref="D113" authorId="30" shapeId="0" xr:uid="{5757FCE4-D3D2-E04F-ABE1-E429479DCC13}">
      <text>
        <t>[Threaded comment]
Your version of Excel allows you to read this threaded comment; however, any edits to it will get removed if the file is opened in a newer version of Excel. Learn more: https://go.microsoft.com/fwlink/?linkid=870924
Comment:
    Eq 3 &amp; 17</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tc={91170E0B-7069-1D4D-8EF6-0B9795970E9A}</author>
  </authors>
  <commentList>
    <comment ref="F10" authorId="0" shapeId="0" xr:uid="{91170E0B-7069-1D4D-8EF6-0B9795970E9A}">
      <text>
        <t>[Threaded comment]
Your version of Excel allows you to read this threaded comment; however, any edits to it will get removed if the file is opened in a newer version of Excel. Learn more: https://go.microsoft.com/fwlink/?linkid=870924
Comment:
    Eq 1</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tc={393F6316-019C-AB49-A93E-0AFE65C3DFB6}</author>
    <author>tc={38C187FE-9D4F-4545-AE74-8A423DA3CECC}</author>
    <author>tc={22904915-725F-134D-BD09-B4B293055867}</author>
    <author>tc={809AC9B5-1202-A64E-8261-8150A9FB4D82}</author>
    <author>tc={21B4FC73-34A1-3944-8B67-04CE4855FD14}</author>
    <author>tc={4DBA36D3-6B0B-964F-981E-5C87A75683D3}</author>
    <author>tc={1A34DD0B-7646-4F40-BAFC-4AA4C2CCA61D}</author>
    <author>tc={722B1E3C-C44D-354F-83A9-3CD3FBC8419A}</author>
  </authors>
  <commentList>
    <comment ref="F6" authorId="0" shapeId="0" xr:uid="{393F6316-019C-AB49-A93E-0AFE65C3DFB6}">
      <text>
        <t>[Threaded comment]
Your version of Excel allows you to read this threaded comment; however, any edits to it will get removed if the file is opened in a newer version of Excel. Learn more: https://go.microsoft.com/fwlink/?linkid=870924
Comment:
    Eq 1</t>
      </text>
    </comment>
    <comment ref="F11" authorId="1" shapeId="0" xr:uid="{38C187FE-9D4F-4545-AE74-8A423DA3CECC}">
      <text>
        <t>[Threaded comment]
Your version of Excel allows you to read this threaded comment; however, any edits to it will get removed if the file is opened in a newer version of Excel. Learn more: https://go.microsoft.com/fwlink/?linkid=870924
Comment:
    Eq 2</t>
      </text>
    </comment>
    <comment ref="F13" authorId="2" shapeId="0" xr:uid="{22904915-725F-134D-BD09-B4B293055867}">
      <text>
        <t>[Threaded comment]
Your version of Excel allows you to read this threaded comment; however, any edits to it will get removed if the file is opened in a newer version of Excel. Learn more: https://go.microsoft.com/fwlink/?linkid=870924
Comment:
    At least monthly recording of data</t>
      </text>
    </comment>
    <comment ref="F16" authorId="3" shapeId="0" xr:uid="{809AC9B5-1202-A64E-8261-8150A9FB4D82}">
      <text>
        <t>[Threaded comment]
Your version of Excel allows you to read this threaded comment; however, any edits to it will get removed if the file is opened in a newer version of Excel. Learn more: https://go.microsoft.com/fwlink/?linkid=870924
Comment:
    Eq 3</t>
      </text>
    </comment>
    <comment ref="F22" authorId="4" shapeId="0" xr:uid="{21B4FC73-34A1-3944-8B67-04CE4855FD14}">
      <text>
        <t>[Threaded comment]
Your version of Excel allows you to read this threaded comment; however, any edits to it will get removed if the file is opened in a newer version of Excel. Learn more: https://go.microsoft.com/fwlink/?linkid=870924
Comment:
    Eq 7</t>
      </text>
    </comment>
    <comment ref="F23" authorId="5" shapeId="0" xr:uid="{4DBA36D3-6B0B-964F-981E-5C87A75683D3}">
      <text>
        <t>[Threaded comment]
Your version of Excel allows you to read this threaded comment; however, any edits to it will get removed if the file is opened in a newer version of Excel. Learn more: https://go.microsoft.com/fwlink/?linkid=870924
Comment:
    Eq 8</t>
      </text>
    </comment>
    <comment ref="F37" authorId="6" shapeId="0" xr:uid="{1A34DD0B-7646-4F40-BAFC-4AA4C2CCA61D}">
      <text>
        <t>[Threaded comment]
Your version of Excel allows you to read this threaded comment; however, any edits to it will get removed if the file is opened in a newer version of Excel. Learn more: https://go.microsoft.com/fwlink/?linkid=870924
Comment:
    Eq 4</t>
      </text>
    </comment>
    <comment ref="F38" authorId="7" shapeId="0" xr:uid="{722B1E3C-C44D-354F-83A9-3CD3FBC8419A}">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tc={D123ED9A-D5D7-5D4F-99FB-98B435610DEE}</author>
    <author>tc={9687012B-A31B-C749-B38E-1A61096F6C92}</author>
    <author>tc={86E39650-C110-0548-9820-4338EE67B584}</author>
    <author>tc={42E912F3-7D3F-D34B-BD15-E9654CEC795C}</author>
    <author>tc={74667A68-FF17-A04B-8746-D1B6BF071DA0}</author>
    <author>tc={33F7D8F8-68D1-FA4C-86B3-800ED4BFB880}</author>
    <author>tc={66ACBE36-4EAC-154F-BE96-14C855CF3BDD}</author>
    <author>tc={41F791F1-6BEB-1F46-BB05-A4F429E40969}</author>
    <author>tc={49528DCB-67D0-D74B-BB3E-37E5DBADABFD}</author>
    <author>tc={0420E7E3-BA85-524A-A238-BBC9946BA541}</author>
    <author>tc={4E184FCD-742A-2C4E-88E2-88C3631A237C}</author>
    <author>tc={399A7376-CCA4-844D-8788-1FFE97BB52CE}</author>
    <author>tc={C60371D2-8A0B-AB45-B9B1-C31DB968D0F4}</author>
    <author>tc={B315F566-EF65-9247-9535-E4E0D3195FEF}</author>
    <author>tc={B24D93AC-1F7D-2C4C-9322-266ECDCCABBB}</author>
    <author>tc={777C24A4-63DA-9E4E-AFD4-34161A9ADEA6}</author>
    <author>tc={50540C06-268B-0641-9081-32C45FDDF744}</author>
    <author>tc={330DF489-95C3-8F44-852C-0E7F020153BD}</author>
    <author>tc={FB7719E5-C263-A244-B1A5-A90F32DB3979}</author>
    <author>tc={289A8204-89E9-CF4D-ACBB-8CBD8547C4DC}</author>
  </authors>
  <commentList>
    <comment ref="F3" authorId="0" shapeId="0" xr:uid="{D123ED9A-D5D7-5D4F-99FB-98B435610DEE}">
      <text>
        <t>[Threaded comment]
Your version of Excel allows you to read this threaded comment; however, any edits to it will get removed if the file is opened in a newer version of Excel. Learn more: https://go.microsoft.com/fwlink/?linkid=870924
Comment:
    Eq 4</t>
      </text>
    </comment>
    <comment ref="F4" authorId="1" shapeId="0" xr:uid="{9687012B-A31B-C749-B38E-1A61096F6C92}">
      <text>
        <t>[Threaded comment]
Your version of Excel allows you to read this threaded comment; however, any edits to it will get removed if the file is opened in a newer version of Excel. Learn more: https://go.microsoft.com/fwlink/?linkid=870924
Comment:
    Eq 5</t>
      </text>
    </comment>
    <comment ref="F7" authorId="2" shapeId="0" xr:uid="{86E39650-C110-0548-9820-4338EE67B584}">
      <text>
        <t>[Threaded comment]
Your version of Excel allows you to read this threaded comment; however, any edits to it will get removed if the file is opened in a newer version of Excel. Learn more: https://go.microsoft.com/fwlink/?linkid=870924
Comment:
    Eq 4</t>
      </text>
    </comment>
    <comment ref="F8" authorId="3" shapeId="0" xr:uid="{42E912F3-7D3F-D34B-BD15-E9654CEC795C}">
      <text>
        <t>[Threaded comment]
Your version of Excel allows you to read this threaded comment; however, any edits to it will get removed if the file is opened in a newer version of Excel. Learn more: https://go.microsoft.com/fwlink/?linkid=870924
Comment:
    Eq 5</t>
      </text>
    </comment>
    <comment ref="F10" authorId="4" shapeId="0" xr:uid="{74667A68-FF17-A04B-8746-D1B6BF071DA0}">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10" authorId="5" shapeId="0" xr:uid="{33F7D8F8-68D1-FA4C-86B3-800ED4BFB880}">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11" authorId="6" shapeId="0" xr:uid="{66ACBE36-4EAC-154F-BE96-14C855CF3BDD}">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12" authorId="7" shapeId="0" xr:uid="{41F791F1-6BEB-1F46-BB05-A4F429E40969}">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19" authorId="8" shapeId="0" xr:uid="{49528DCB-67D0-D74B-BB3E-37E5DBADABFD}">
      <text>
        <t>[Threaded comment]
Your version of Excel allows you to read this threaded comment; however, any edits to it will get removed if the file is opened in a newer version of Excel. Learn more: https://go.microsoft.com/fwlink/?linkid=870924
Comment:
    Eq 4</t>
      </text>
    </comment>
    <comment ref="F20" authorId="9" shapeId="0" xr:uid="{0420E7E3-BA85-524A-A238-BBC9946BA541}">
      <text>
        <t>[Threaded comment]
Your version of Excel allows you to read this threaded comment; however, any edits to it will get removed if the file is opened in a newer version of Excel. Learn more: https://go.microsoft.com/fwlink/?linkid=870924
Comment:
    Eq 5</t>
      </text>
    </comment>
    <comment ref="F22" authorId="10" shapeId="0" xr:uid="{4E184FCD-742A-2C4E-88E2-88C3631A237C}">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22" authorId="11" shapeId="0" xr:uid="{399A7376-CCA4-844D-8788-1FFE97BB52CE}">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23" authorId="12" shapeId="0" xr:uid="{C60371D2-8A0B-AB45-B9B1-C31DB968D0F4}">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24" authorId="13" shapeId="0" xr:uid="{B315F566-EF65-9247-9535-E4E0D3195FEF}">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31" authorId="14" shapeId="0" xr:uid="{B24D93AC-1F7D-2C4C-9322-266ECDCCABBB}">
      <text>
        <t>[Threaded comment]
Your version of Excel allows you to read this threaded comment; however, any edits to it will get removed if the file is opened in a newer version of Excel. Learn more: https://go.microsoft.com/fwlink/?linkid=870924
Comment:
    Eq 4</t>
      </text>
    </comment>
    <comment ref="F32" authorId="15" shapeId="0" xr:uid="{777C24A4-63DA-9E4E-AFD4-34161A9ADEA6}">
      <text>
        <t>[Threaded comment]
Your version of Excel allows you to read this threaded comment; however, any edits to it will get removed if the file is opened in a newer version of Excel. Learn more: https://go.microsoft.com/fwlink/?linkid=870924
Comment:
    Eq 5</t>
      </text>
    </comment>
    <comment ref="F34" authorId="16" shapeId="0" xr:uid="{50540C06-268B-0641-9081-32C45FDDF744}">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34" authorId="17" shapeId="0" xr:uid="{330DF489-95C3-8F44-852C-0E7F020153BD}">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35" authorId="18" shapeId="0" xr:uid="{FB7719E5-C263-A244-B1A5-A90F32DB3979}">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36" authorId="19" shapeId="0" xr:uid="{289A8204-89E9-CF4D-ACBB-8CBD8547C4DC}">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tc={C8B42F2D-D59C-A948-AE74-CCCDD7FB57DC}</author>
  </authors>
  <commentList>
    <comment ref="D3" authorId="0" shapeId="0" xr:uid="{C8B42F2D-D59C-A948-AE74-CCCDD7FB57DC}">
      <text>
        <t>[Threaded comment]
Your version of Excel allows you to read this threaded comment; however, any edits to it will get removed if the file is opened in a newer version of Excel. Learn more: https://go.microsoft.com/fwlink/?linkid=870924
Comment:
    Upper Default Value at the 95% confidence interval</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tc={5B5FF9A5-32B3-5747-AC5F-7206235135C7}</author>
    <author>tc={D70CA058-3D02-884F-9796-048CBBA09C9D}</author>
    <author>tc={C3D7E383-9231-4B49-A94A-A0AE38798841}</author>
    <author>tc={A0098826-8000-714F-8CBA-45D99EA6A133}</author>
    <author>tc={06AF0C8A-BF12-A744-98AA-C5C79844265F}</author>
    <author>tc={89421317-626A-8C41-9661-BADBB81FD07D}</author>
    <author>tc={4A34FFD3-45FD-3944-B91C-7CA310CF44F9}</author>
    <author>tc={2F5C252A-86A3-FE45-A0F5-38743935ED74}</author>
    <author>tc={01D5CDA0-7BAB-6944-BFC9-B236F8CF1CB4}</author>
    <author>tc={E358EF34-7F1A-C446-8E38-3A4B6B33438B}</author>
    <author>tc={8837F2ED-5B41-9246-8CF5-9DD68F6270CC}</author>
    <author>tc={9FAECBD2-9345-C64A-9235-5AAEB70F4BF8}</author>
    <author>tc={7DBC378F-5DBA-1D43-802A-843160FA5D84}</author>
    <author>tc={A3ADB73A-E8AF-2F4D-A8EC-D4333405307B}</author>
    <author>tc={E1C3FF91-5D99-1647-8EC9-76A5C52A6067}</author>
    <author>tc={E4009CA1-00F5-FA40-9BA6-A66B1693A79B}</author>
    <author>tc={113B55F3-B440-144D-B800-5E0DFD5F5C44}</author>
    <author>tc={3FD1B851-0A33-3A44-9944-CBE9451B452D}</author>
    <author>tc={BEB49C44-29E8-5249-91BB-C5C89D44C0A3}</author>
  </authors>
  <commentList>
    <comment ref="C44" authorId="0" shapeId="0" xr:uid="{5B5FF9A5-32B3-5747-AC5F-7206235135C7}">
      <text>
        <t>[Threaded comment]
Your version of Excel allows you to read this threaded comment; however, any edits to it will get removed if the file is opened in a newer version of Excel. Learn more: https://go.microsoft.com/fwlink/?linkid=870924
Comment:
    Eq 5</t>
      </text>
    </comment>
    <comment ref="C45" authorId="1" shapeId="0" xr:uid="{D70CA058-3D02-884F-9796-048CBBA09C9D}">
      <text>
        <t>[Threaded comment]
Your version of Excel allows you to read this threaded comment; however, any edits to it will get removed if the file is opened in a newer version of Excel. Learn more: https://go.microsoft.com/fwlink/?linkid=870924
Comment:
    Eq 6</t>
      </text>
    </comment>
    <comment ref="C48" authorId="2" shapeId="0" xr:uid="{C3D7E383-9231-4B49-A94A-A0AE38798841}">
      <text>
        <t>[Threaded comment]
Your version of Excel allows you to read this threaded comment; however, any edits to it will get removed if the file is opened in a newer version of Excel. Learn more: https://go.microsoft.com/fwlink/?linkid=870924
Comment:
    Eq 7</t>
      </text>
    </comment>
    <comment ref="C49" authorId="3" shapeId="0" xr:uid="{A0098826-8000-714F-8CBA-45D99EA6A133}">
      <text>
        <t>[Threaded comment]
Your version of Excel allows you to read this threaded comment; however, any edits to it will get removed if the file is opened in a newer version of Excel. Learn more: https://go.microsoft.com/fwlink/?linkid=870924
Comment:
    Comes from tool 08</t>
      </text>
    </comment>
    <comment ref="C50" authorId="4" shapeId="0" xr:uid="{06AF0C8A-BF12-A744-98AA-C5C79844265F}">
      <text>
        <t>[Threaded comment]
Your version of Excel allows you to read this threaded comment; however, any edits to it will get removed if the file is opened in a newer version of Excel. Learn more: https://go.microsoft.com/fwlink/?linkid=870924
Comment:
    Eq 5 in tool 08</t>
      </text>
    </comment>
    <comment ref="C51" authorId="5" shapeId="0" xr:uid="{89421317-626A-8C41-9661-BADBB81FD07D}">
      <text>
        <t>[Threaded comment]
Your version of Excel allows you to read this threaded comment; however, any edits to it will get removed if the file is opened in a newer version of Excel. Learn more: https://go.microsoft.com/fwlink/?linkid=870924
Comment:
    Comes from tool 08</t>
      </text>
    </comment>
    <comment ref="C54" authorId="6" shapeId="0" xr:uid="{4A34FFD3-45FD-3944-B91C-7CA310CF44F9}">
      <text>
        <t>[Threaded comment]
Your version of Excel allows you to read this threaded comment; however, any edits to it will get removed if the file is opened in a newer version of Excel. Learn more: https://go.microsoft.com/fwlink/?linkid=870924
Comment:
    Eq 3</t>
      </text>
    </comment>
    <comment ref="C56" authorId="7" shapeId="0" xr:uid="{2F5C252A-86A3-FE45-A0F5-38743935ED74}">
      <text>
        <t>[Threaded comment]
Your version of Excel allows you to read this threaded comment; however, any edits to it will get removed if the file is opened in a newer version of Excel. Learn more: https://go.microsoft.com/fwlink/?linkid=870924
Comment:
    Eq 4</t>
      </text>
    </comment>
    <comment ref="C57" authorId="8" shapeId="0" xr:uid="{01D5CDA0-7BAB-6944-BFC9-B236F8CF1CB4}">
      <text>
        <t>[Threaded comment]
Your version of Excel allows you to read this threaded comment; however, any edits to it will get removed if the file is opened in a newer version of Excel. Learn more: https://go.microsoft.com/fwlink/?linkid=870924
Comment:
    Eq 8</t>
      </text>
    </comment>
    <comment ref="C58" authorId="9" shapeId="0" xr:uid="{E358EF34-7F1A-C446-8E38-3A4B6B33438B}">
      <text>
        <t>[Threaded comment]
Your version of Excel allows you to read this threaded comment; however, any edits to it will get removed if the file is opened in a newer version of Excel. Learn more: https://go.microsoft.com/fwlink/?linkid=870924
Comment:
    Eq 9</t>
      </text>
    </comment>
    <comment ref="C59" authorId="10" shapeId="0" xr:uid="{8837F2ED-5B41-9246-8CF5-9DD68F6270CC}">
      <text>
        <t>[Threaded comment]
Your version of Excel allows you to read this threaded comment; however, any edits to it will get removed if the file is opened in a newer version of Excel. Learn more: https://go.microsoft.com/fwlink/?linkid=870924
Comment:
    Eq 10</t>
      </text>
    </comment>
    <comment ref="C60" authorId="11" shapeId="0" xr:uid="{9FAECBD2-9345-C64A-9235-5AAEB70F4BF8}">
      <text>
        <t>[Threaded comment]
Your version of Excel allows you to read this threaded comment; however, any edits to it will get removed if the file is opened in a newer version of Excel. Learn more: https://go.microsoft.com/fwlink/?linkid=870924
Comment:
    Eq 11</t>
      </text>
    </comment>
    <comment ref="C61" authorId="12" shapeId="0" xr:uid="{7DBC378F-5DBA-1D43-802A-843160FA5D84}">
      <text>
        <t>[Threaded comment]
Your version of Excel allows you to read this threaded comment; however, any edits to it will get removed if the file is opened in a newer version of Excel. Learn more: https://go.microsoft.com/fwlink/?linkid=870924
Comment:
    Eq 12</t>
      </text>
    </comment>
    <comment ref="C62" authorId="13" shapeId="0" xr:uid="{A3ADB73A-E8AF-2F4D-A8EC-D4333405307B}">
      <text>
        <t>[Threaded comment]
Your version of Excel allows you to read this threaded comment; however, any edits to it will get removed if the file is opened in a newer version of Excel. Learn more: https://go.microsoft.com/fwlink/?linkid=870924
Comment:
    Eq 13</t>
      </text>
    </comment>
    <comment ref="C64" authorId="14" shapeId="0" xr:uid="{E1C3FF91-5D99-1647-8EC9-76A5C52A6067}">
      <text>
        <t>[Threaded comment]
Your version of Excel allows you to read this threaded comment; however, any edits to it will get removed if the file is opened in a newer version of Excel. Learn more: https://go.microsoft.com/fwlink/?linkid=870924
Comment:
    Eq 14</t>
      </text>
    </comment>
    <comment ref="C65" authorId="15" shapeId="0" xr:uid="{E4009CA1-00F5-FA40-9BA6-A66B1693A79B}">
      <text>
        <t>[Threaded comment]
Your version of Excel allows you to read this threaded comment; however, any edits to it will get removed if the file is opened in a newer version of Excel. Learn more: https://go.microsoft.com/fwlink/?linkid=870924
Comment:
    Eq 14</t>
      </text>
    </comment>
    <comment ref="C66" authorId="16" shapeId="0" xr:uid="{113B55F3-B440-144D-B800-5E0DFD5F5C44}">
      <text>
        <t>[Threaded comment]
Your version of Excel allows you to read this threaded comment; however, any edits to it will get removed if the file is opened in a newer version of Excel. Learn more: https://go.microsoft.com/fwlink/?linkid=870924
Comment:
    Eq 14</t>
      </text>
    </comment>
    <comment ref="C67" authorId="17" shapeId="0" xr:uid="{3FD1B851-0A33-3A44-9944-CBE9451B452D}">
      <text>
        <t>[Threaded comment]
Your version of Excel allows you to read this threaded comment; however, any edits to it will get removed if the file is opened in a newer version of Excel. Learn more: https://go.microsoft.com/fwlink/?linkid=870924
Comment:
    Eq 14</t>
      </text>
    </comment>
    <comment ref="C69" authorId="18" shapeId="0" xr:uid="{BEB49C44-29E8-5249-91BB-C5C89D44C0A3}">
      <text>
        <t>[Threaded comment]
Your version of Excel allows you to read this threaded comment; however, any edits to it will get removed if the file is opened in a newer version of Excel. Learn more: https://go.microsoft.com/fwlink/?linkid=870924
Comment:
    Eq 15</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tc={8B41DE3D-366C-8D40-9115-A6983B77AE3D}</author>
    <author>tc={3FC2CA98-AA36-764A-A98F-A978BCA5BF53}</author>
    <author>tc={47D33CED-EE89-7447-847A-B59C501E8155}</author>
  </authors>
  <commentList>
    <comment ref="H23" authorId="0" shapeId="0" xr:uid="{8B41DE3D-366C-8D40-9115-A6983B77AE3D}">
      <text>
        <t>[Threaded comment]
Your version of Excel allows you to read this threaded comment; however, any edits to it will get removed if the file is opened in a newer version of Excel. Learn more: https://go.microsoft.com/fwlink/?linkid=870924
Comment:
    Possibly need to include Tool 24: Methodological tool: Common practice</t>
      </text>
    </comment>
    <comment ref="H25" authorId="1" shapeId="0" xr:uid="{3FC2CA98-AA36-764A-A98F-A978BCA5BF53}">
      <text>
        <t>[Threaded comment]
Your version of Excel allows you to read this threaded comment; however, any edits to it will get removed if the file is opened in a newer version of Excel. Learn more: https://go.microsoft.com/fwlink/?linkid=870924
Comment:
    Possibly need to include Tool 24: Methodological tool: Common practice</t>
      </text>
    </comment>
    <comment ref="H81" authorId="2" shapeId="0" xr:uid="{47D33CED-EE89-7447-847A-B59C501E8155}">
      <text>
        <t>[Threaded comment]
Your version of Excel allows you to read this threaded comment; however, any edits to it will get removed if the file is opened in a newer version of Excel. Learn more: https://go.microsoft.com/fwlink/?linkid=870924
Comment:
    Possibly need to include Tool 24: Methodological tool: Common practice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tc={D92C67BA-7E47-EE4F-B842-A9E9DCCB873B}</author>
    <author>tc={2CA65697-3ECE-FD42-B529-C62CD72AE518}</author>
    <author>tc={E1F9DE39-8D59-8641-8D7B-3A3E2906F34E}</author>
    <author>tc={BADEBE5C-E968-F14C-B8AD-96BCB7DA4AED}</author>
    <author>tc={BC4EC996-A209-3B4E-AE54-F6E7C2D49F68}</author>
    <author>tc={1DB7A26A-A90C-194E-BBE5-9DF7BA215C6D}</author>
    <author>tc={1727F99A-7A8A-6743-B2F4-0D3D6D763DAC}</author>
    <author>tc={12E61659-099D-964C-ACBA-0D2E0BCC821A}</author>
  </authors>
  <commentList>
    <comment ref="B34" authorId="0" shapeId="0" xr:uid="{D92C67BA-7E47-EE4F-B842-A9E9DCCB873B}">
      <text>
        <t>[Threaded comment]
Your version of Excel allows you to read this threaded comment; however, any edits to it will get removed if the file is opened in a newer version of Excel. Learn more: https://go.microsoft.com/fwlink/?linkid=870924
Comment:
    Equation 3</t>
      </text>
    </comment>
    <comment ref="B35" authorId="1" shapeId="0" xr:uid="{2CA65697-3ECE-FD42-B529-C62CD72AE518}">
      <text>
        <t>[Threaded comment]
Your version of Excel allows you to read this threaded comment; however, any edits to it will get removed if the file is opened in a newer version of Excel. Learn more: https://go.microsoft.com/fwlink/?linkid=870924
Comment:
    Equation 4</t>
      </text>
    </comment>
    <comment ref="B44" authorId="2" shapeId="0" xr:uid="{E1F9DE39-8D59-8641-8D7B-3A3E2906F34E}">
      <text>
        <t>[Threaded comment]
Your version of Excel allows you to read this threaded comment; however, any edits to it will get removed if the file is opened in a newer version of Excel. Learn more: https://go.microsoft.com/fwlink/?linkid=870924
Comment:
    Equation 7</t>
      </text>
    </comment>
    <comment ref="B45" authorId="3" shapeId="0" xr:uid="{BADEBE5C-E968-F14C-B8AD-96BCB7DA4AED}">
      <text>
        <t>[Threaded comment]
Your version of Excel allows you to read this threaded comment; however, any edits to it will get removed if the file is opened in a newer version of Excel. Learn more: https://go.microsoft.com/fwlink/?linkid=870924
Comment:
    Equation 5</t>
      </text>
    </comment>
    <comment ref="B54" authorId="4" shapeId="0" xr:uid="{BC4EC996-A209-3B4E-AE54-F6E7C2D49F68}">
      <text>
        <t>[Threaded comment]
Your version of Excel allows you to read this threaded comment; however, any edits to it will get removed if the file is opened in a newer version of Excel. Learn more: https://go.microsoft.com/fwlink/?linkid=870924
Comment:
    Equation 9</t>
      </text>
    </comment>
    <comment ref="B59" authorId="5" shapeId="0" xr:uid="{1DB7A26A-A90C-194E-BBE5-9DF7BA215C6D}">
      <text>
        <t>[Threaded comment]
Your version of Excel allows you to read this threaded comment; however, any edits to it will get removed if the file is opened in a newer version of Excel. Learn more: https://go.microsoft.com/fwlink/?linkid=870924
Comment:
    Equation 11</t>
      </text>
    </comment>
    <comment ref="B66" authorId="6" shapeId="0" xr:uid="{1727F99A-7A8A-6743-B2F4-0D3D6D763DAC}">
      <text>
        <t>[Threaded comment]
Your version of Excel allows you to read this threaded comment; however, any edits to it will get removed if the file is opened in a newer version of Excel. Learn more: https://go.microsoft.com/fwlink/?linkid=870924
Comment:
    Equation 12</t>
      </text>
    </comment>
    <comment ref="B86" authorId="7" shapeId="0" xr:uid="{12E61659-099D-964C-ACBA-0D2E0BCC821A}">
      <text>
        <t>[Threaded comment]
Your version of Excel allows you to read this threaded comment; however, any edits to it will get removed if the file is opened in a newer version of Excel. Learn more: https://go.microsoft.com/fwlink/?linkid=870924
Comment:
    Equation 1</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tc={F0B52929-DB61-7540-90A6-AAEEB8ABF8FA}</author>
  </authors>
  <commentList>
    <comment ref="A2" authorId="0" shapeId="0" xr:uid="{F0B52929-DB61-7540-90A6-AAEEB8ABF8FA}">
      <text>
        <t>[Threaded comment]
Your version of Excel allows you to read this threaded comment; however, any edits to it will get removed if the file is opened in a newer version of Excel. Learn more: https://go.microsoft.com/fwlink/?linkid=870924
Comment:
    Add a line for each SWDS CH4 calculation instance added</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tc={21722995-01FA-E344-8BC2-1DEC5E037642}</author>
  </authors>
  <commentList>
    <comment ref="A3" authorId="0" shapeId="0" xr:uid="{21722995-01FA-E344-8BC2-1DEC5E037642}">
      <text>
        <t xml:space="preserve">[Threaded comment]
Your version of Excel allows you to read this threaded comment; however, any edits to it will get removed if the file is opened in a newer version of Excel. Learn more: https://go.microsoft.com/fwlink/?linkid=870924
Comment:
    Add a line for each transportation activity (f).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tc={B0B28EA7-DB2F-1042-81ED-2BC21E98F702}</author>
    <author>tc={0321A6E5-9DC9-6047-AFCD-DB9B77ADB587}</author>
  </authors>
  <commentList>
    <comment ref="D3" authorId="0" shapeId="0" xr:uid="{B0B28EA7-DB2F-1042-81ED-2BC21E98F702}">
      <text>
        <t>[Threaded comment]
Your version of Excel allows you to read this threaded comment; however, any edits to it will get removed if the file is opened in a newer version of Excel. Learn more: https://go.microsoft.com/fwlink/?linkid=870924
Comment:
    Eq 5</t>
      </text>
    </comment>
    <comment ref="D4" authorId="1" shapeId="0" xr:uid="{0321A6E5-9DC9-6047-AFCD-DB9B77ADB587}">
      <text>
        <t>[Threaded comment]
Your version of Excel allows you to read this threaded comment; however, any edits to it will get removed if the file is opened in a newer version of Excel. Learn more: https://go.microsoft.com/fwlink/?linkid=870924
Comment:
    TOOL04</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tc={BAF1F14C-7378-7446-814D-140C294E7C4E}</author>
    <author>tc={9D667801-86FB-9141-8078-501E621F72EE}</author>
    <author>tc={D2C847E8-C466-6D46-B4E1-DAE5537CC80B}</author>
    <author>tc={C20021B1-752A-FD43-B874-4096A56AA8C5}</author>
    <author>tc={D458FFC3-E553-DC43-AD42-DB2B36CDAA02}</author>
    <author>tc={08CBF5B9-DFFE-7443-8ACB-8E58E791CF6A}</author>
    <author>tc={A973AF85-59B0-114A-9315-42A2BEE28FB2}</author>
  </authors>
  <commentList>
    <comment ref="D3" authorId="0" shapeId="0" xr:uid="{BAF1F14C-7378-7446-814D-140C294E7C4E}">
      <text>
        <t>[Threaded comment]
Your version of Excel allows you to read this threaded comment; however, any edits to it will get removed if the file is opened in a newer version of Excel. Learn more: https://go.microsoft.com/fwlink/?linkid=870924
Comment:
    Eq 3</t>
      </text>
    </comment>
    <comment ref="D4" authorId="1" shapeId="0" xr:uid="{9D667801-86FB-9141-8078-501E621F72EE}">
      <text>
        <t>[Threaded comment]
Your version of Excel allows you to read this threaded comment; however, any edits to it will get removed if the file is opened in a newer version of Excel. Learn more: https://go.microsoft.com/fwlink/?linkid=870924
Comment:
    Eq 4</t>
      </text>
    </comment>
    <comment ref="D5" authorId="2" shapeId="0" xr:uid="{D2C847E8-C466-6D46-B4E1-DAE5537CC80B}">
      <text>
        <t>[Threaded comment]
Your version of Excel allows you to read this threaded comment; however, any edits to it will get removed if the file is opened in a newer version of Excel. Learn more: https://go.microsoft.com/fwlink/?linkid=870924
Comment:
    TOOL08</t>
      </text>
    </comment>
    <comment ref="D6" authorId="3" shapeId="0" xr:uid="{C20021B1-752A-FD43-B874-4096A56AA8C5}">
      <text>
        <t>[Threaded comment]
Your version of Excel allows you to read this threaded comment; however, any edits to it will get removed if the file is opened in a newer version of Excel. Learn more: https://go.microsoft.com/fwlink/?linkid=870924
Comment:
    TOOL08</t>
      </text>
    </comment>
    <comment ref="D7" authorId="4" shapeId="0" xr:uid="{D458FFC3-E553-DC43-AD42-DB2B36CDAA02}">
      <text>
        <t>[Threaded comment]
Your version of Excel allows you to read this threaded comment; however, any edits to it will get removed if the file is opened in a newer version of Excel. Learn more: https://go.microsoft.com/fwlink/?linkid=870924
Comment:
    TOOL08</t>
      </text>
    </comment>
    <comment ref="D8" authorId="5" shapeId="0" xr:uid="{08CBF5B9-DFFE-7443-8ACB-8E58E791CF6A}">
      <text>
        <t>[Threaded comment]
Your version of Excel allows you to read this threaded comment; however, any edits to it will get removed if the file is opened in a newer version of Excel. Learn more: https://go.microsoft.com/fwlink/?linkid=870924
Comment:
    TOOL08</t>
      </text>
    </comment>
    <comment ref="D9" authorId="6" shapeId="0" xr:uid="{A973AF85-59B0-114A-9315-42A2BEE28FB2}">
      <text>
        <t>[Threaded comment]
Your version of Excel allows you to read this threaded comment; however, any edits to it will get removed if the file is opened in a newer version of Excel. Learn more: https://go.microsoft.com/fwlink/?linkid=870924
Comment:
    TOOL06</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tc={199DC76C-908F-9B47-B85E-9A375914101F}</author>
  </authors>
  <commentList>
    <comment ref="D3" authorId="0" shapeId="0" xr:uid="{199DC76C-908F-9B47-B85E-9A375914101F}">
      <text>
        <t>[Threaded comment]
Your version of Excel allows you to read this threaded comment; however, any edits to it will get removed if the file is opened in a newer version of Excel. Learn more: https://go.microsoft.com/fwlink/?linkid=870924
Comment:
    Eq 6</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tc={D97A837C-615D-4A4C-B104-71AA77CD6A8A}</author>
    <author>tc={6403A5CF-CE13-0C40-92FE-B5259CD4DA60}</author>
    <author>tc={6CEB79B2-9796-664C-ABD5-4DECA44AFA1A}</author>
    <author>tc={7A527B2B-64ED-EF4E-81AC-38A379C42667}</author>
    <author>tc={1F89C899-521D-BC43-9C28-9DF4F660874A}</author>
    <author>tc={49735F8A-3AAE-694E-96A2-0539F3B0FB88}</author>
    <author>tc={26D6B440-F93E-3D48-A09C-691F0F3570C3}</author>
  </authors>
  <commentList>
    <comment ref="D3" authorId="0" shapeId="0" xr:uid="{D97A837C-615D-4A4C-B104-71AA77CD6A8A}">
      <text>
        <t>[Threaded comment]
Your version of Excel allows you to read this threaded comment; however, any edits to it will get removed if the file is opened in a newer version of Excel. Learn more: https://go.microsoft.com/fwlink/?linkid=870924
Comment:
    Eq 7</t>
      </text>
    </comment>
    <comment ref="D9" authorId="1" shapeId="0" xr:uid="{6403A5CF-CE13-0C40-92FE-B5259CD4DA60}">
      <text>
        <t>[Threaded comment]
Your version of Excel allows you to read this threaded comment; however, any edits to it will get removed if the file is opened in a newer version of Excel. Learn more: https://go.microsoft.com/fwlink/?linkid=870924
Comment:
    Eq 8</t>
      </text>
    </comment>
    <comment ref="D11" authorId="2" shapeId="0" xr:uid="{6CEB79B2-9796-664C-ABD5-4DECA44AFA1A}">
      <text>
        <t>[Threaded comment]
Your version of Excel allows you to read this threaded comment; however, any edits to it will get removed if the file is opened in a newer version of Excel. Learn more: https://go.microsoft.com/fwlink/?linkid=870924
Comment:
    TOOL08</t>
      </text>
    </comment>
    <comment ref="D14" authorId="3" shapeId="0" xr:uid="{7A527B2B-64ED-EF4E-81AC-38A379C42667}">
      <text>
        <t>[Threaded comment]
Your version of Excel allows you to read this threaded comment; however, any edits to it will get removed if the file is opened in a newer version of Excel. Learn more: https://go.microsoft.com/fwlink/?linkid=870924
Comment:
    TOOL08</t>
      </text>
    </comment>
    <comment ref="D15" authorId="4" shapeId="0" xr:uid="{1F89C899-521D-BC43-9C28-9DF4F660874A}">
      <text>
        <t>[Threaded comment]
Your version of Excel allows you to read this threaded comment; however, any edits to it will get removed if the file is opened in a newer version of Excel. Learn more: https://go.microsoft.com/fwlink/?linkid=870924
Comment:
    Eq 9</t>
      </text>
    </comment>
    <comment ref="D16" authorId="5" shapeId="0" xr:uid="{49735F8A-3AAE-694E-96A2-0539F3B0FB88}">
      <text>
        <t>[Threaded comment]
Your version of Excel allows you to read this threaded comment; however, any edits to it will get removed if the file is opened in a newer version of Excel. Learn more: https://go.microsoft.com/fwlink/?linkid=870924
Comment:
    Eq 10</t>
      </text>
    </comment>
    <comment ref="D17" authorId="6" shapeId="0" xr:uid="{26D6B440-F93E-3D48-A09C-691F0F3570C3}">
      <text>
        <t>[Threaded comment]
Your version of Excel allows you to read this threaded comment; however, any edits to it will get removed if the file is opened in a newer version of Excel. Learn more: https://go.microsoft.com/fwlink/?linkid=870924
Comment:
    TOOL08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tc={14B06C1A-74B1-AF42-8A4E-9FA4DCF26049}</author>
    <author>tc={8554D016-DE2F-2749-90E7-DF78D8711F51}</author>
    <author>tc={CCA35A52-6031-044B-8EFB-B71203A3212C}</author>
    <author>tc={7449C6AE-A313-994A-8DAB-39CC4D6D9B7B}</author>
    <author>tc={88EA758E-8C3B-3E49-AD04-19F8B2A5E737}</author>
    <author>tc={87CA819C-5E55-814A-A166-17E155DB98D4}</author>
    <author>tc={5D4EE7F0-4E9B-744C-9C6A-E59AB10909C9}</author>
  </authors>
  <commentList>
    <comment ref="D3" authorId="0" shapeId="0" xr:uid="{14B06C1A-74B1-AF42-8A4E-9FA4DCF26049}">
      <text>
        <t>[Threaded comment]
Your version of Excel allows you to read this threaded comment; however, any edits to it will get removed if the file is opened in a newer version of Excel. Learn more: https://go.microsoft.com/fwlink/?linkid=870924
Comment:
    Eq 11</t>
      </text>
    </comment>
    <comment ref="D7" authorId="1" shapeId="0" xr:uid="{8554D016-DE2F-2749-90E7-DF78D8711F51}">
      <text>
        <t>[Threaded comment]
Your version of Excel allows you to read this threaded comment; however, any edits to it will get removed if the file is opened in a newer version of Excel. Learn more: https://go.microsoft.com/fwlink/?linkid=870924
Comment:
    Eq 12</t>
      </text>
    </comment>
    <comment ref="D8" authorId="2" shapeId="0" xr:uid="{CCA35A52-6031-044B-8EFB-B71203A3212C}">
      <text>
        <t>[Threaded comment]
Your version of Excel allows you to read this threaded comment; however, any edits to it will get removed if the file is opened in a newer version of Excel. Learn more: https://go.microsoft.com/fwlink/?linkid=870924
Comment:
    TOOL08</t>
      </text>
    </comment>
    <comment ref="D10" authorId="3" shapeId="0" xr:uid="{7449C6AE-A313-994A-8DAB-39CC4D6D9B7B}">
      <text>
        <t>[Threaded comment]
Your version of Excel allows you to read this threaded comment; however, any edits to it will get removed if the file is opened in a newer version of Excel. Learn more: https://go.microsoft.com/fwlink/?linkid=870924
Comment:
    Eq 13</t>
      </text>
    </comment>
    <comment ref="D11" authorId="4" shapeId="0" xr:uid="{88EA758E-8C3B-3E49-AD04-19F8B2A5E737}">
      <text>
        <t>[Threaded comment]
Your version of Excel allows you to read this threaded comment; however, any edits to it will get removed if the file is opened in a newer version of Excel. Learn more: https://go.microsoft.com/fwlink/?linkid=870924
Comment:
    Eq 14</t>
      </text>
    </comment>
    <comment ref="D13" authorId="5" shapeId="0" xr:uid="{87CA819C-5E55-814A-A166-17E155DB98D4}">
      <text>
        <t>[Threaded comment]
Your version of Excel allows you to read this threaded comment; however, any edits to it will get removed if the file is opened in a newer version of Excel. Learn more: https://go.microsoft.com/fwlink/?linkid=870924
Comment:
    TOOL04</t>
      </text>
    </comment>
    <comment ref="D16" authorId="6" shapeId="0" xr:uid="{5D4EE7F0-4E9B-744C-9C6A-E59AB10909C9}">
      <text>
        <t>[Threaded comment]
Your version of Excel allows you to read this threaded comment; however, any edits to it will get removed if the file is opened in a newer version of Excel. Learn more: https://go.microsoft.com/fwlink/?linkid=870924
Comment:
    Eq 15</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tc={1985600B-F93D-BB4F-9704-EE812AE517D3}</author>
    <author>tc={D21ABAFC-1AB4-3147-8777-E98FB65B60D6}</author>
    <author>tc={1B944E6D-CAC2-974D-98BA-29CD2E924820}</author>
  </authors>
  <commentList>
    <comment ref="D3" authorId="0" shapeId="0" xr:uid="{1985600B-F93D-BB4F-9704-EE812AE517D3}">
      <text>
        <t>[Threaded comment]
Your version of Excel allows you to read this threaded comment; however, any edits to it will get removed if the file is opened in a newer version of Excel. Learn more: https://go.microsoft.com/fwlink/?linkid=870924
Comment:
    Eq 16</t>
      </text>
    </comment>
    <comment ref="D5" authorId="1" shapeId="0" xr:uid="{D21ABAFC-1AB4-3147-8777-E98FB65B60D6}">
      <text>
        <t>[Threaded comment]
Your version of Excel allows you to read this threaded comment; however, any edits to it will get removed if the file is opened in a newer version of Excel. Learn more: https://go.microsoft.com/fwlink/?linkid=870924
Comment:
    Case 2</t>
      </text>
    </comment>
    <comment ref="D7" authorId="2" shapeId="0" xr:uid="{1B944E6D-CAC2-974D-98BA-29CD2E924820}">
      <text>
        <t>[Threaded comment]
Your version of Excel allows you to read this threaded comment; however, any edits to it will get removed if the file is opened in a newer version of Excel. Learn more: https://go.microsoft.com/fwlink/?linkid=870924
Comment:
    Case 3</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tc={1FEC4A0F-1A0E-ED4F-8E42-3A259D494942}</author>
    <author>tc={2CB57DB1-6442-0542-9C80-2E08C5ED93FB}</author>
  </authors>
  <commentList>
    <comment ref="D3" authorId="0" shapeId="0" xr:uid="{1FEC4A0F-1A0E-ED4F-8E42-3A259D494942}">
      <text>
        <t>[Threaded comment]
Your version of Excel allows you to read this threaded comment; however, any edits to it will get removed if the file is opened in a newer version of Excel. Learn more: https://go.microsoft.com/fwlink/?linkid=870924
Comment:
    Eq 19</t>
      </text>
    </comment>
    <comment ref="D6" authorId="1" shapeId="0" xr:uid="{2CB57DB1-6442-0542-9C80-2E08C5ED93FB}">
      <text>
        <t>[Threaded comment]
Your version of Excel allows you to read this threaded comment; however, any edits to it will get removed if the file is opened in a newer version of Excel. Learn more: https://go.microsoft.com/fwlink/?linkid=870924
Comment:
    TOOL08</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tc={DD39A9C7-8A94-794D-8A0A-B06EDA4BDA92}</author>
  </authors>
  <commentList>
    <comment ref="D3" authorId="0" shapeId="0" xr:uid="{DD39A9C7-8A94-794D-8A0A-B06EDA4BDA92}">
      <text>
        <t>[Threaded comment]
Your version of Excel allows you to read this threaded comment; however, any edits to it will get removed if the file is opened in a newer version of Excel. Learn more: https://go.microsoft.com/fwlink/?linkid=870924
Comment:
    Eq 20</t>
      </text>
    </comment>
  </commentList>
</comments>
</file>

<file path=xl/sharedStrings.xml><?xml version="1.0" encoding="utf-8"?>
<sst xmlns="http://schemas.openxmlformats.org/spreadsheetml/2006/main" count="4091" uniqueCount="1795">
  <si>
    <t>Required Field</t>
  </si>
  <si>
    <t xml:space="preserve">Selective Disclosure </t>
  </si>
  <si>
    <t>Allow Multiple Answers</t>
  </si>
  <si>
    <t>Schema Type</t>
  </si>
  <si>
    <t xml:space="preserve">Properties </t>
  </si>
  <si>
    <t>Parameter</t>
  </si>
  <si>
    <t>Question</t>
  </si>
  <si>
    <t>Answer</t>
  </si>
  <si>
    <t>Project Details</t>
  </si>
  <si>
    <t>Yes</t>
  </si>
  <si>
    <t>No</t>
  </si>
  <si>
    <t>String</t>
  </si>
  <si>
    <t>N/A</t>
  </si>
  <si>
    <t>Summary of the Project Description</t>
  </si>
  <si>
    <t>Capture of landfill gas (LFG) and its flaring and/or use to produce energy and/or use to supply consumers</t>
  </si>
  <si>
    <t>ActivityImpactModule.projectScope</t>
  </si>
  <si>
    <t>Sectoral Scope</t>
  </si>
  <si>
    <t xml:space="preserve">Project Scope: 01 and 13 </t>
  </si>
  <si>
    <t>ActivityImpactModule.projectType</t>
  </si>
  <si>
    <t>Project Type</t>
  </si>
  <si>
    <t xml:space="preserve">Project Category: Energy industries (renewable - / non-renewable sources) and Waste handling and disposal </t>
  </si>
  <si>
    <t>AccountableImpactOrganization.activityImpactModules</t>
  </si>
  <si>
    <t>Type of Activity</t>
  </si>
  <si>
    <t>Destruction of methane emissions and displacement of a more-GHG-intensive service</t>
  </si>
  <si>
    <t>ActivityImpactModule.projectScale</t>
  </si>
  <si>
    <t>Project Scale</t>
  </si>
  <si>
    <t>Large-scale</t>
  </si>
  <si>
    <t>ActivityImpactModule.GeographicLocation.latitude</t>
  </si>
  <si>
    <t>Project Location Latitude</t>
  </si>
  <si>
    <t>24.70092°</t>
  </si>
  <si>
    <t>ActivityImpactModule.GeographicLocation.longitude</t>
  </si>
  <si>
    <t>Project Location Longitude</t>
  </si>
  <si>
    <t>90.463975°</t>
  </si>
  <si>
    <t>ActivityImpactModule.GeographicLocation.geoJsonOrKml</t>
  </si>
  <si>
    <t>Project Location GeoJSON (GeoJSON supports the following geometry types: Point, LineString, Polygon, MultiPoint, MultiLineString, MultiPolygon.)</t>
  </si>
  <si>
    <t>[-104.99404, 39.75621]</t>
  </si>
  <si>
    <t>Project Eligibility</t>
  </si>
  <si>
    <t>The project activity would not occur or be financially attractive without the income associated with the sale of CERs</t>
  </si>
  <si>
    <t>AccountableImpactOrganization.name</t>
  </si>
  <si>
    <t>Project Participant Organization Name</t>
  </si>
  <si>
    <t>X Energy  Project</t>
  </si>
  <si>
    <t>Name</t>
  </si>
  <si>
    <t>Project Participant Contact Person</t>
  </si>
  <si>
    <t>John Doe</t>
  </si>
  <si>
    <t xml:space="preserve">Project Participant Title </t>
  </si>
  <si>
    <t xml:space="preserve">Owner </t>
  </si>
  <si>
    <t>Address</t>
  </si>
  <si>
    <t>AccountableImpactOrganization.addresses</t>
  </si>
  <si>
    <t xml:space="preserve">Project Participant Address </t>
  </si>
  <si>
    <t>India</t>
  </si>
  <si>
    <t>Phone Number</t>
  </si>
  <si>
    <t xml:space="preserve">Project Participant Telephone </t>
  </si>
  <si>
    <t>(555) 222-3131</t>
  </si>
  <si>
    <t>Email</t>
  </si>
  <si>
    <t>Project Participant Email</t>
  </si>
  <si>
    <t>JD@gmail.com</t>
  </si>
  <si>
    <t>AccountableImpactOrganization.owners</t>
  </si>
  <si>
    <t>Project Ownership</t>
  </si>
  <si>
    <t>Participation under other GHG Programs</t>
  </si>
  <si>
    <t>Other Forms of Environmental Credit</t>
  </si>
  <si>
    <t xml:space="preserve">Select all that apply </t>
  </si>
  <si>
    <t>QualityStandard.methodologyAndTools</t>
  </si>
  <si>
    <t>Title and Reference of Methodologies</t>
  </si>
  <si>
    <t>CDM - ACM0001</t>
  </si>
  <si>
    <t xml:space="preserve">Date  </t>
  </si>
  <si>
    <t>ActivityImpactModule.projectStartDate</t>
  </si>
  <si>
    <t>Project Start Date</t>
  </si>
  <si>
    <t>Date Range</t>
  </si>
  <si>
    <t>ActivityImpactModule.projectCreditingPeriod</t>
  </si>
  <si>
    <t>Crediting Period</t>
  </si>
  <si>
    <t>01/01/2018-01/01/2019</t>
  </si>
  <si>
    <t>ActivityImpactModule.projectMonitoringPeriod</t>
  </si>
  <si>
    <t>Monitoring Period</t>
  </si>
  <si>
    <t>Monitoring Plan</t>
  </si>
  <si>
    <t>Monitoring plan was structured based on ACM0001 criteria</t>
  </si>
  <si>
    <t>Compliance with Laws, Statutes and Other Regulatory Frameworks</t>
  </si>
  <si>
    <t>CoBenefit.unSdg</t>
  </si>
  <si>
    <t>Sustainable development</t>
  </si>
  <si>
    <t>Further Information</t>
  </si>
  <si>
    <t xml:space="preserve">Yes </t>
  </si>
  <si>
    <t>Auto-Calculate</t>
  </si>
  <si>
    <t>Ex ante estimation of a mount of methane in the LFG which is 
flared and/or used in the project activity in year y (t CH4/yr)</t>
  </si>
  <si>
    <t>Questionnaire</t>
  </si>
  <si>
    <t>Enum</t>
  </si>
  <si>
    <t xml:space="preserve">Select which of the following cases applies to the baseline scenario of your project activity:
Case 1: There is no requirement to destroy methane and there is no existing LFG capture and destruction system;
Case 2: There is a requirement to destroy methane but there is no existing LFG capture and destruction system;
Case 3: There is no requirement to destroy methane but there is an existing LFG capture and destruction system;
Case 4: There is a requirement to destroy methane and there is an existing LFG capture and destruction system.
</t>
  </si>
  <si>
    <t xml:space="preserve">Case 1 or Case 2 or Case 3 or Case 4 </t>
  </si>
  <si>
    <t>Default Values</t>
  </si>
  <si>
    <r>
      <t>𝑂𝑋</t>
    </r>
    <r>
      <rPr>
        <i/>
        <vertAlign val="subscript"/>
        <sz val="11"/>
        <color theme="1"/>
        <rFont val="Calibri (Body)"/>
      </rPr>
      <t xml:space="preserve">𝑡𝑜𝑝_𝑙𝑎𝑦𝑒r  </t>
    </r>
  </si>
  <si>
    <t>Fraction of methane in the LFG that would be oxidized in the top layer of the SWDS in the baseline (dimensionless)</t>
  </si>
  <si>
    <r>
      <rPr>
        <i/>
        <sz val="11"/>
        <color theme="1"/>
        <rFont val="Calibri"/>
        <family val="2"/>
        <scheme val="minor"/>
      </rPr>
      <t>𝐺𝑊𝑃</t>
    </r>
    <r>
      <rPr>
        <i/>
        <vertAlign val="subscript"/>
        <sz val="11"/>
        <color theme="1"/>
        <rFont val="Calibri (Body)"/>
      </rPr>
      <t>𝐶𝐻4</t>
    </r>
    <r>
      <rPr>
        <i/>
        <sz val="11"/>
        <color theme="1"/>
        <rFont val="Calibri"/>
        <family val="2"/>
        <scheme val="minor"/>
      </rPr>
      <t xml:space="preserve"> </t>
    </r>
  </si>
  <si>
    <t>Global warming potential of CH4 (t CO2e/t CH4)</t>
  </si>
  <si>
    <r>
      <rPr>
        <i/>
        <sz val="11"/>
        <color theme="1"/>
        <rFont val="Calibri"/>
        <family val="2"/>
        <scheme val="minor"/>
      </rPr>
      <t>𝐷𝐸𝐹𝑇</t>
    </r>
    <r>
      <rPr>
        <i/>
        <vertAlign val="subscript"/>
        <sz val="11"/>
        <color theme="1"/>
        <rFont val="Calibri (Body)"/>
      </rPr>
      <t>𝑆𝑃,y</t>
    </r>
    <r>
      <rPr>
        <i/>
        <sz val="11"/>
        <color theme="1"/>
        <rFont val="Calibri"/>
        <family val="2"/>
        <scheme val="minor"/>
      </rPr>
      <t xml:space="preserve"> </t>
    </r>
  </si>
  <si>
    <t>Default emission factor for the supply of LFG to consumers due to physical leakage through the dedicated pipeline (tCO2e/TJ)</t>
  </si>
  <si>
    <r>
      <t>𝑁𝐶𝑉</t>
    </r>
    <r>
      <rPr>
        <i/>
        <vertAlign val="subscript"/>
        <sz val="11"/>
        <color theme="1"/>
        <rFont val="Calibri (Body)"/>
      </rPr>
      <t>𝐶𝐻4</t>
    </r>
    <r>
      <rPr>
        <i/>
        <sz val="11"/>
        <color theme="1"/>
        <rFont val="Calibri"/>
        <family val="2"/>
        <scheme val="minor"/>
      </rPr>
      <t xml:space="preserve"> </t>
    </r>
  </si>
  <si>
    <t>Net calorific value of methane at reference conditions (TJ/t CH4)</t>
  </si>
  <si>
    <t>Baseline Emissions</t>
  </si>
  <si>
    <r>
      <t>𝐵𝐸</t>
    </r>
    <r>
      <rPr>
        <i/>
        <vertAlign val="subscript"/>
        <sz val="11"/>
        <color theme="1"/>
        <rFont val="Calibri (Body)"/>
      </rPr>
      <t>y</t>
    </r>
  </si>
  <si>
    <t>Baseline emissions in year y (t CO2e/yr)</t>
  </si>
  <si>
    <r>
      <t>𝐵𝐸</t>
    </r>
    <r>
      <rPr>
        <i/>
        <vertAlign val="subscript"/>
        <sz val="11"/>
        <color theme="1"/>
        <rFont val="Calibri (Body)"/>
      </rPr>
      <t>𝐶𝐻4,y</t>
    </r>
  </si>
  <si>
    <t>Baseline emissions of methane from the SWDS in year y (t CO2e/yr)</t>
  </si>
  <si>
    <r>
      <t>𝐵𝐸</t>
    </r>
    <r>
      <rPr>
        <i/>
        <vertAlign val="subscript"/>
        <sz val="11"/>
        <color theme="1"/>
        <rFont val="Calibri (Body)"/>
      </rPr>
      <t>𝐸𝐶,y</t>
    </r>
  </si>
  <si>
    <t>Baseline emissions associated with electricity generation in year y (t CO2/yr)</t>
  </si>
  <si>
    <r>
      <rPr>
        <i/>
        <sz val="11"/>
        <color theme="1"/>
        <rFont val="Calibri"/>
        <family val="2"/>
        <scheme val="minor"/>
      </rPr>
      <t>𝐵𝐸</t>
    </r>
    <r>
      <rPr>
        <i/>
        <vertAlign val="subscript"/>
        <sz val="11"/>
        <color theme="1"/>
        <rFont val="Calibri (Body)"/>
      </rPr>
      <t>𝐻𝐺,y</t>
    </r>
  </si>
  <si>
    <t>Baseline emissions associated with heat generation in year y (t CO2/yr)</t>
  </si>
  <si>
    <r>
      <t>𝐵𝐸</t>
    </r>
    <r>
      <rPr>
        <i/>
        <vertAlign val="subscript"/>
        <sz val="11"/>
        <color theme="1"/>
        <rFont val="Calibri (Body)"/>
      </rPr>
      <t>𝑁𝐺,y</t>
    </r>
  </si>
  <si>
    <t>Baseline emissions associated with natural gas use in year y (t CO2/yr)</t>
  </si>
  <si>
    <r>
      <t>𝐹</t>
    </r>
    <r>
      <rPr>
        <i/>
        <vertAlign val="subscript"/>
        <sz val="11"/>
        <color theme="1"/>
        <rFont val="Calibri (Body)"/>
      </rPr>
      <t>𝐶𝐻4,𝑃𝐽,y</t>
    </r>
  </si>
  <si>
    <t>Amount of methane in the LFG which is flared and/or used in the project activity in year y (t CH4/yr)</t>
  </si>
  <si>
    <r>
      <t>𝐹</t>
    </r>
    <r>
      <rPr>
        <i/>
        <vertAlign val="subscript"/>
        <sz val="11"/>
        <color theme="1"/>
        <rFont val="Calibri (Body)"/>
      </rPr>
      <t>𝐶𝐻4,𝐵𝐿,y</t>
    </r>
  </si>
  <si>
    <t>Amount of methane in the LFG that would be flared in the baseline in year y (t CH4/yr)</t>
  </si>
  <si>
    <t>If not required to destory methane and existing LFG capture and destruction system then use field F3 in "Case 1" schema, if required to destory methane but not required to destory existing LFG capture and destruction system then use field F3 in "Case 2" schema, if not required to destroy methane but required to destroy existing LFG capture and destruction system then use field F3 in "Case 3" schema, if required to destory methane and existing LFG capture and destruction system then use fiel F3 in "Case 4" schema</t>
  </si>
  <si>
    <t>Number</t>
  </si>
  <si>
    <t xml:space="preserve">N </t>
  </si>
  <si>
    <t>Number of different heat generation equipment used in the project activity</t>
  </si>
  <si>
    <r>
      <t>η</t>
    </r>
    <r>
      <rPr>
        <i/>
        <vertAlign val="subscript"/>
        <sz val="11"/>
        <color theme="1"/>
        <rFont val="Calibri (Body)"/>
      </rPr>
      <t>𝐻𝐺,𝐵𝐿,𝑗</t>
    </r>
  </si>
  <si>
    <t>Efficiency of the heat generation equipment type j used in the baseline</t>
  </si>
  <si>
    <t>Is the efficiuency of the heat generation equipment measured during monitoring and/or provided by manufacturer's information or is the efiiciency  unavailable?</t>
  </si>
  <si>
    <t xml:space="preserve">Measured/Provided or Unavailable </t>
  </si>
  <si>
    <r>
      <t>η</t>
    </r>
    <r>
      <rPr>
        <i/>
        <vertAlign val="subscript"/>
        <sz val="11"/>
        <color theme="1"/>
        <rFont val="Calibri (Body)"/>
      </rPr>
      <t>𝐻𝐺,𝑃𝐽,𝑗,y</t>
    </r>
  </si>
  <si>
    <t>Efficiency of the heat generation equipment type j used in the project activity in year y</t>
  </si>
  <si>
    <t xml:space="preserve">If the efficiuency of the heat generation equipment is measured during monitoring or provided by manufacturer's information then use field H52 in "ACM0001" schema, if the efiiciency is unavailable then use field H54 in "ACM0001" shcema </t>
  </si>
  <si>
    <r>
      <t>𝐸𝐹</t>
    </r>
    <r>
      <rPr>
        <i/>
        <vertAlign val="subscript"/>
        <sz val="11"/>
        <color theme="1"/>
        <rFont val="Calibri (Body)"/>
      </rPr>
      <t xml:space="preserve">𝐶𝑂2,𝑁𝐺,𝑦 </t>
    </r>
  </si>
  <si>
    <t>Average CO2 emission factor of natural gas in the natural gas network or dedicated pipeline or in the trucks in year y (t CO2e/TJ)</t>
  </si>
  <si>
    <r>
      <t>𝐹</t>
    </r>
    <r>
      <rPr>
        <i/>
        <vertAlign val="subscript"/>
        <sz val="11"/>
        <color theme="1"/>
        <rFont val="Calibri (Body)"/>
      </rPr>
      <t xml:space="preserve">𝐶𝐻4,𝑁𝐺,𝑦 </t>
    </r>
  </si>
  <si>
    <t>Amount of methane in the LFG which is sent to the natural gas distribution network or dedicated pipeline or to the trucks in year y (t CH4/yr)</t>
  </si>
  <si>
    <t>Efficiency of Heat Generation Equipment Available</t>
  </si>
  <si>
    <t>Efficiency of Heat Generation Equipment Unavailable</t>
  </si>
  <si>
    <r>
      <t>η</t>
    </r>
    <r>
      <rPr>
        <vertAlign val="subscript"/>
        <sz val="11"/>
        <color theme="1"/>
        <rFont val="Calibri (Body)"/>
      </rPr>
      <t>𝐻𝐺,𝑃𝐽,𝑗,y</t>
    </r>
  </si>
  <si>
    <t>[Click to add Heat Generation Equipment]</t>
  </si>
  <si>
    <t>j</t>
  </si>
  <si>
    <t>Heat generation equipment (boiler, air heater, glass melting furnace(s) or kiln)</t>
  </si>
  <si>
    <r>
      <t>𝑅</t>
    </r>
    <r>
      <rPr>
        <i/>
        <vertAlign val="subscript"/>
        <sz val="11"/>
        <color theme="1"/>
        <rFont val="Calibri (Body)"/>
      </rPr>
      <t>𝑒𝑓𝑓𝑖𝑐𝑖𝑒𝑛𝑐𝑦,𝑗,y</t>
    </r>
  </si>
  <si>
    <t>Ratio of the project and baseline efficiency of heat equipment type j in year y</t>
  </si>
  <si>
    <t>What is the heat generation equipment type?</t>
  </si>
  <si>
    <t xml:space="preserve">Boiler or Air Heater or Glass Melting Furnace or Brick Kiln or Intermittent Brick Kiln </t>
  </si>
  <si>
    <r>
      <t>𝐹</t>
    </r>
    <r>
      <rPr>
        <i/>
        <vertAlign val="subscript"/>
        <sz val="11"/>
        <color theme="1"/>
        <rFont val="Calibri (Body)"/>
      </rPr>
      <t>𝐶𝐻4,𝐻𝐺,𝑑𝑒𝑠𝑡,𝑗,y</t>
    </r>
  </si>
  <si>
    <t>Amount of methane in the LFG which is destroyed for heat generation by equipment type j in year y (t CH4/yr)</t>
  </si>
  <si>
    <t>If heat generation equipment is a boiler, air heater, or glass melting furnace then use field F3 in "HGE (Other)" schema, if heat generation equipment is a brick kiln then use field F3 in "HGE (Kiln)" schema, if heat generation equipment is an intermittent brick kiln then use either field F3 in "HGE (Other)" shcmea or field F3 in "HGE (Kiln)"</t>
  </si>
  <si>
    <r>
      <t>𝐸𝐹</t>
    </r>
    <r>
      <rPr>
        <i/>
        <vertAlign val="subscript"/>
        <sz val="11"/>
        <color theme="1"/>
        <rFont val="Calibri (Body)"/>
      </rPr>
      <t>𝐶𝑂2,𝐵𝐿,𝐻𝐺,j</t>
    </r>
  </si>
  <si>
    <t xml:space="preserve">CO2 emission factor of the fossil fuel type used for heat generation by equipment type j in the baseline (t CO2/TJ)  </t>
  </si>
  <si>
    <t>The lower limit of the 95 per cent confidence interval of the default values provided in Table 1.4 of Chapter 1 of Vol. 2 (Energy) of the 2006 IPCC Guidelines on National GHG Inventories  shall be used</t>
  </si>
  <si>
    <t xml:space="preserve">If the efficiuency of the heat generation equipment is measured during monitoring or provided by manufacturer's information then use field H52 in "ACM0001" schema, if the efiiciency is unavailable then use field H54 in "ACM0001" schema </t>
  </si>
  <si>
    <t>Project Emissions</t>
  </si>
  <si>
    <r>
      <rPr>
        <i/>
        <sz val="11"/>
        <color theme="1"/>
        <rFont val="Calibri"/>
        <family val="2"/>
        <scheme val="minor"/>
      </rPr>
      <t>PE</t>
    </r>
    <r>
      <rPr>
        <i/>
        <vertAlign val="subscript"/>
        <sz val="11"/>
        <color theme="1"/>
        <rFont val="Calibri (Body)"/>
      </rPr>
      <t xml:space="preserve">y </t>
    </r>
  </si>
  <si>
    <t>Project emissions in year y (t CO2/yr)</t>
  </si>
  <si>
    <r>
      <t>𝑃𝐸</t>
    </r>
    <r>
      <rPr>
        <vertAlign val="subscript"/>
        <sz val="11"/>
        <color theme="1"/>
        <rFont val="Calibri (Body)"/>
      </rPr>
      <t xml:space="preserve">𝐸𝐶,y </t>
    </r>
  </si>
  <si>
    <t>Emissions from consumption of electricity due to the project activity in year y (t CO2/yr)</t>
  </si>
  <si>
    <r>
      <t>𝑃𝐸</t>
    </r>
    <r>
      <rPr>
        <vertAlign val="subscript"/>
        <sz val="11"/>
        <color theme="1"/>
        <rFont val="Calibri (Body)"/>
      </rPr>
      <t xml:space="preserve">𝐹𝐶,y </t>
    </r>
  </si>
  <si>
    <t>Emissions from consumption of fossil fuels due to the project activity, for purpose other than electricity generation, in year y (t CO2/yr)</t>
  </si>
  <si>
    <r>
      <t>𝑃𝐸</t>
    </r>
    <r>
      <rPr>
        <vertAlign val="subscript"/>
        <sz val="11"/>
        <color theme="1"/>
        <rFont val="Calibri (Body)"/>
      </rPr>
      <t>𝐷𝑇,𝑦</t>
    </r>
  </si>
  <si>
    <t>Emissions from the distribution of compressed/liquefied LFG using trucks, in year y (t CO2/yr)</t>
  </si>
  <si>
    <r>
      <t>𝑃𝐸</t>
    </r>
    <r>
      <rPr>
        <vertAlign val="subscript"/>
        <sz val="11"/>
        <color theme="1"/>
        <rFont val="Calibri (Body)"/>
      </rPr>
      <t xml:space="preserve">𝑆𝑃,y </t>
    </r>
    <r>
      <rPr>
        <sz val="11"/>
        <color theme="1"/>
        <rFont val="Calibri"/>
        <family val="2"/>
        <scheme val="minor"/>
      </rPr>
      <t xml:space="preserve"> </t>
    </r>
  </si>
  <si>
    <t>Emissions from the supply of LFG to consumers through a dedicated pipeline, in year y (t CO2/yr)</t>
  </si>
  <si>
    <t xml:space="preserve">Number </t>
  </si>
  <si>
    <r>
      <t>𝑃𝐸</t>
    </r>
    <r>
      <rPr>
        <vertAlign val="subscript"/>
        <sz val="11"/>
        <color theme="1"/>
        <rFont val="Calibri (Body)"/>
      </rPr>
      <t>𝑇𝑅,y</t>
    </r>
  </si>
  <si>
    <t>Emissions from the transportation of compressed/liquefied LFG using trucks, in year y (t CO2/yr)</t>
  </si>
  <si>
    <r>
      <t>𝑃𝐸</t>
    </r>
    <r>
      <rPr>
        <vertAlign val="subscript"/>
        <sz val="11"/>
        <color theme="1"/>
        <rFont val="Calibri (Body)"/>
      </rPr>
      <t xml:space="preserve">𝑙𝑒𝑎𝑘𝑠,y </t>
    </r>
  </si>
  <si>
    <t>Emissions from CH4 leaks during the transportation of compressed/liquefied LFG, in year y (t CO2/yr)</t>
  </si>
  <si>
    <r>
      <t>𝐹</t>
    </r>
    <r>
      <rPr>
        <vertAlign val="subscript"/>
        <sz val="11"/>
        <color theme="1"/>
        <rFont val="Calibri (Body)"/>
      </rPr>
      <t>𝐶𝐻4,𝑁𝐺 𝑇𝑅,y</t>
    </r>
    <r>
      <rPr>
        <sz val="11"/>
        <color theme="1"/>
        <rFont val="Calibri"/>
        <family val="2"/>
        <scheme val="minor"/>
      </rPr>
      <t xml:space="preserve"> </t>
    </r>
  </si>
  <si>
    <t>Amount of methane in the LFG which is sent to trucks in year y</t>
  </si>
  <si>
    <r>
      <t>𝐹</t>
    </r>
    <r>
      <rPr>
        <vertAlign val="subscript"/>
        <sz val="11"/>
        <color theme="1"/>
        <rFont val="Calibri (Body)"/>
      </rPr>
      <t>𝐶𝐻4,𝑁𝐺−𝑐𝑜𝑛𝑠,y</t>
    </r>
  </si>
  <si>
    <t>Amount of methane in the LFG which is delivered to consumers using trucks in year y (t CH4/yr)</t>
  </si>
  <si>
    <t>Emissions Reduction</t>
  </si>
  <si>
    <t>ImpactClaim.quantity</t>
  </si>
  <si>
    <r>
      <t>ER</t>
    </r>
    <r>
      <rPr>
        <i/>
        <vertAlign val="subscript"/>
        <sz val="11"/>
        <color theme="1"/>
        <rFont val="Calibri (Body)"/>
      </rPr>
      <t>y</t>
    </r>
  </si>
  <si>
    <t>Emission reductions in year y (t CO2e/yr)</t>
  </si>
  <si>
    <t>ImpactClaimCheckpoint.efBefore</t>
  </si>
  <si>
    <r>
      <t>BE</t>
    </r>
    <r>
      <rPr>
        <i/>
        <vertAlign val="subscript"/>
        <sz val="11"/>
        <color theme="1"/>
        <rFont val="Calibri (Body)"/>
      </rPr>
      <t>y</t>
    </r>
    <r>
      <rPr>
        <i/>
        <sz val="11"/>
        <color theme="1"/>
        <rFont val="Calibri"/>
        <family val="2"/>
        <scheme val="minor"/>
      </rPr>
      <t xml:space="preserve"> </t>
    </r>
  </si>
  <si>
    <t>ImpactClaimCheckpoint.efAfter</t>
  </si>
  <si>
    <r>
      <rPr>
        <i/>
        <sz val="11"/>
        <color theme="1"/>
        <rFont val="Calibri"/>
        <family val="2"/>
        <scheme val="minor"/>
      </rPr>
      <t>PE</t>
    </r>
    <r>
      <rPr>
        <i/>
        <vertAlign val="subscript"/>
        <sz val="11"/>
        <color theme="1"/>
        <rFont val="Calibri (Body)"/>
      </rPr>
      <t>y</t>
    </r>
    <r>
      <rPr>
        <i/>
        <sz val="11"/>
        <color theme="1"/>
        <rFont val="Calibri"/>
        <family val="2"/>
        <scheme val="minor"/>
      </rPr>
      <t xml:space="preserve"> </t>
    </r>
  </si>
  <si>
    <t>Ex ante</t>
  </si>
  <si>
    <r>
      <t>𝐵𝐸</t>
    </r>
    <r>
      <rPr>
        <vertAlign val="subscript"/>
        <sz val="11"/>
        <color theme="1"/>
        <rFont val="Calibri (Body)"/>
      </rPr>
      <t>𝐶𝐻4,𝑆𝑊𝐷𝑆,y</t>
    </r>
  </si>
  <si>
    <t>Amount of methane in the LFG that is generated from the SWDS in the baseline scenario in year y (t CO2e/yr)</t>
  </si>
  <si>
    <t xml:space="preserve">Are technical specifications of the LFG capture system available? </t>
  </si>
  <si>
    <t xml:space="preserve">Available or Unavailable </t>
  </si>
  <si>
    <r>
      <t>η</t>
    </r>
    <r>
      <rPr>
        <vertAlign val="subscript"/>
        <sz val="11"/>
        <color theme="1"/>
        <rFont val="Calibri (Body)"/>
      </rPr>
      <t>PJ</t>
    </r>
  </si>
  <si>
    <t>Efficiency of the LFG capture system that will be installed in the project activity</t>
  </si>
  <si>
    <t>If technical specifications of the LFG capture system are available then use field F7 in "Ex ante" schema,  if unavailable then use field F9 in "Ex ante" schema</t>
  </si>
  <si>
    <t xml:space="preserve">LFG Capture System Tech Specs Available </t>
  </si>
  <si>
    <t>LFG Capture System Tech Specs Unavailable</t>
  </si>
  <si>
    <t>Ex post</t>
  </si>
  <si>
    <r>
      <t>𝐹</t>
    </r>
    <r>
      <rPr>
        <i/>
        <vertAlign val="subscript"/>
        <sz val="11"/>
        <color theme="1"/>
        <rFont val="Calibri (Body)"/>
      </rPr>
      <t xml:space="preserve">𝐶𝐻4,𝑓𝑙𝑎𝑟𝑒𝑑,y </t>
    </r>
  </si>
  <si>
    <t>Amount of methane in the LFG which is destroyed by flaring in year y (t CH4/yr)</t>
  </si>
  <si>
    <r>
      <t>𝐹</t>
    </r>
    <r>
      <rPr>
        <vertAlign val="subscript"/>
        <sz val="11"/>
        <color theme="1"/>
        <rFont val="Calibri (Body)"/>
      </rPr>
      <t xml:space="preserve">𝐶𝐻4,𝐸𝐿,y </t>
    </r>
    <r>
      <rPr>
        <sz val="11"/>
        <color theme="1"/>
        <rFont val="Calibri"/>
        <family val="2"/>
        <scheme val="minor"/>
      </rPr>
      <t xml:space="preserve"> </t>
    </r>
  </si>
  <si>
    <t>Amount of methane in the LFG which is used for electricity generation in year y (t CH4/yr)</t>
  </si>
  <si>
    <r>
      <t>𝐹</t>
    </r>
    <r>
      <rPr>
        <vertAlign val="subscript"/>
        <sz val="11"/>
        <color theme="1"/>
        <rFont val="Calibri (Body)"/>
      </rPr>
      <t xml:space="preserve">𝐶𝐻4,𝐻𝐺,y </t>
    </r>
  </si>
  <si>
    <t>Amount of methane in the LFG which is used for heat generation in year y (t CH4/yr)</t>
  </si>
  <si>
    <r>
      <t>𝐹</t>
    </r>
    <r>
      <rPr>
        <vertAlign val="subscript"/>
        <sz val="11"/>
        <color theme="1"/>
        <rFont val="Calibri (Body)"/>
      </rPr>
      <t>𝐶𝐻4,𝑁𝐺,y</t>
    </r>
  </si>
  <si>
    <t>Amount of methane in the LFG which is sent to the natural gas distribution network and/or dedicated pipeline and/or to the trucks in year y (t CH4/yr)</t>
  </si>
  <si>
    <r>
      <t>𝐹</t>
    </r>
    <r>
      <rPr>
        <vertAlign val="subscript"/>
        <sz val="11"/>
        <color theme="1"/>
        <rFont val="Calibri (Body)"/>
      </rPr>
      <t>𝐶𝐻4,𝑠𝑒𝑛𝑡_𝑓𝑙𝑎𝑟𝑒,y</t>
    </r>
  </si>
  <si>
    <t>Amount of methane in the LFG which is sent to the flare in year y (t CH4/yr)</t>
  </si>
  <si>
    <r>
      <t>𝑃𝐸</t>
    </r>
    <r>
      <rPr>
        <vertAlign val="subscript"/>
        <sz val="11"/>
        <color theme="1"/>
        <rFont val="Calibri (Body)"/>
      </rPr>
      <t xml:space="preserve">𝑓𝑙𝑎𝑟𝑒,y </t>
    </r>
  </si>
  <si>
    <t>Project emissions from flaring of the residual gas stream in year y (t CO2e/yr)</t>
  </si>
  <si>
    <t>Case 1</t>
  </si>
  <si>
    <t>Case 2</t>
  </si>
  <si>
    <t>What do the requirements specify to be flared: amount of methane, the percentage of LFG, or no specifications available?</t>
  </si>
  <si>
    <t xml:space="preserve">Methane or LFG or None </t>
  </si>
  <si>
    <r>
      <t>𝐹</t>
    </r>
    <r>
      <rPr>
        <i/>
        <vertAlign val="subscript"/>
        <sz val="11"/>
        <color theme="1"/>
        <rFont val="Calibri (Body)"/>
      </rPr>
      <t>𝐶𝐻4,𝐵𝐿,𝑅,y</t>
    </r>
  </si>
  <si>
    <t>Amount of methane in the LFG which is flared in the baseline due to a requirement in year y (t CH4/yr)</t>
  </si>
  <si>
    <t xml:space="preserve">If the requirements specify the amount of methane that must be flared then use field F7 in "Case 2" schema, if the requirements specify  a percentage of the captured LFG that is required to
be flared then use field F9 in "Case 2" schema, if the requirements do not specify percentage of the vaptureed LFG that is required to be flared then use field F14 in "Case 2" schema </t>
  </si>
  <si>
    <t xml:space="preserve">Requirements Specify Amount of Methane </t>
  </si>
  <si>
    <t>Requirements Specify Percentage of LFG Option 1</t>
  </si>
  <si>
    <r>
      <t>𝜌</t>
    </r>
    <r>
      <rPr>
        <vertAlign val="subscript"/>
        <sz val="11"/>
        <color theme="1"/>
        <rFont val="Calibri (Body)"/>
      </rPr>
      <t>𝑟𝑒𝑔,y</t>
    </r>
  </si>
  <si>
    <t>Fraction of LFG that is required to be flared due to a requirement in year y</t>
  </si>
  <si>
    <r>
      <t>𝐹</t>
    </r>
    <r>
      <rPr>
        <vertAlign val="subscript"/>
        <sz val="11"/>
        <color theme="1"/>
        <rFont val="Calibri (Body)"/>
      </rPr>
      <t xml:space="preserve">𝐶𝐻4,𝑃𝐽,𝑐𝑎𝑝𝑡,𝑦 </t>
    </r>
  </si>
  <si>
    <t>Amount of methane in the LFG which is captured in the project activity in year y (t CH4/yr)</t>
  </si>
  <si>
    <t>Requirements Do Not Specify Percentage of LFG Option 2</t>
  </si>
  <si>
    <t>Is the installation of a capture system required without requiring the captured LFG to be flared, or is the capture and flare of the LFG reuired as well?</t>
  </si>
  <si>
    <t xml:space="preserve">No flaring requiremnt or Flaring required </t>
  </si>
  <si>
    <r>
      <t>𝐹</t>
    </r>
    <r>
      <rPr>
        <vertAlign val="subscript"/>
        <sz val="11"/>
        <color theme="1"/>
        <rFont val="Calibri (Body)"/>
      </rPr>
      <t>𝐶𝐻4,𝐵𝐿,𝑅,y</t>
    </r>
  </si>
  <si>
    <t xml:space="preserve">If the requirement does not specify the amount or percentage of LFG that should be destroyed but requires the installation of a capture system, without requiring the captured LFG to be 
flared then use field F15 in "Case 2" schema, if the requirement does not specify any amount or percentage of LFG that should be destroyed, but requires the installation of a system to capture and flare the LFG then use field F16 in "Case 2" schema </t>
  </si>
  <si>
    <t>Case 3</t>
  </si>
  <si>
    <t xml:space="preserve">Is there monitored data, only historic data, or no data available? </t>
  </si>
  <si>
    <t xml:space="preserve">Monitored or Historic or No Data </t>
  </si>
  <si>
    <r>
      <t>𝐹</t>
    </r>
    <r>
      <rPr>
        <i/>
        <vertAlign val="subscript"/>
        <sz val="11"/>
        <color theme="1"/>
        <rFont val="Calibri (Body)"/>
      </rPr>
      <t>𝐶𝐻4,𝐵𝐿,𝑠𝑦𝑠,𝑦</t>
    </r>
    <r>
      <rPr>
        <i/>
        <sz val="11"/>
        <color theme="1"/>
        <rFont val="Calibri"/>
        <family val="2"/>
        <scheme val="minor"/>
      </rPr>
      <t xml:space="preserve"> </t>
    </r>
  </si>
  <si>
    <t xml:space="preserve">Amount of methane in the LFG that would be flared in the baseline in year y for the case of an existing LFG capture system (t CH4/yr) </t>
  </si>
  <si>
    <t>If there is monitored data then use field F7 in "Case 3" schema, if there is no monitored data but there is historic data in the year prior then use field F10 in "Case 3" schema, if there is no 
monitored or historic data then use field F16in "Case 3" schema</t>
  </si>
  <si>
    <t xml:space="preserve">Monitored Data </t>
  </si>
  <si>
    <r>
      <t>𝐹</t>
    </r>
    <r>
      <rPr>
        <vertAlign val="subscript"/>
        <sz val="11"/>
        <color theme="1"/>
        <rFont val="Calibri (Body)"/>
      </rPr>
      <t xml:space="preserve">𝐶𝐻4,𝑠𝑒𝑛𝑡_𝑓𝑙𝑎𝑟𝑒,𝑦 </t>
    </r>
  </si>
  <si>
    <t xml:space="preserve">Historic Data </t>
  </si>
  <si>
    <r>
      <t>𝐹</t>
    </r>
    <r>
      <rPr>
        <vertAlign val="subscript"/>
        <sz val="11"/>
        <color theme="1"/>
        <rFont val="Calibri (Body)"/>
      </rPr>
      <t>𝐶𝐻4,ℎ𝑖𝑠𝑡,y</t>
    </r>
  </si>
  <si>
    <t>Historical amount of methane in the LFG which is captured and destroyed (t CH4/yr)</t>
  </si>
  <si>
    <r>
      <t>𝐹</t>
    </r>
    <r>
      <rPr>
        <vertAlign val="subscript"/>
        <sz val="11"/>
        <color theme="1"/>
        <rFont val="Calibri (Body)"/>
      </rPr>
      <t>𝐶𝐻4,𝐵𝐿,𝑥−1</t>
    </r>
  </si>
  <si>
    <t>Historical amount of methane in the LFG which is captured and destroyed in the year prior to the implementation of the project activity (t CH4/yr)</t>
  </si>
  <si>
    <r>
      <t>𝐹</t>
    </r>
    <r>
      <rPr>
        <vertAlign val="subscript"/>
        <sz val="11"/>
        <color theme="1"/>
        <rFont val="Calibri (Body)"/>
      </rPr>
      <t>𝐶𝐻4,𝑥−1</t>
    </r>
  </si>
  <si>
    <t>Amount of methane in the LFG generated in the SWDS in the year prior to the implementation of the project activity (t CH4/yr)</t>
  </si>
  <si>
    <r>
      <t>𝐹</t>
    </r>
    <r>
      <rPr>
        <vertAlign val="subscript"/>
        <sz val="11"/>
        <color theme="1"/>
        <rFont val="Calibri (Body)"/>
      </rPr>
      <t xml:space="preserve">𝐶𝐻4,𝑃𝐽,y </t>
    </r>
  </si>
  <si>
    <t xml:space="preserve">No Data </t>
  </si>
  <si>
    <t>Case 4</t>
  </si>
  <si>
    <r>
      <t>𝐹</t>
    </r>
    <r>
      <rPr>
        <vertAlign val="subscript"/>
        <sz val="11"/>
        <color theme="1"/>
        <rFont val="Calibri (Body)"/>
      </rPr>
      <t>𝐶𝐻4,𝐵𝐿,𝑠𝑦𝑠,y</t>
    </r>
  </si>
  <si>
    <t>Amount of methane in the LFG that would be flared in the baseline in year y for the case of an existing LFG capture system (t CH4/yr)</t>
  </si>
  <si>
    <t xml:space="preserve">Boiler, Air Heater, Glass Melting Furnace, or Intermittent Brick Kiln </t>
  </si>
  <si>
    <t>Is heat generation equipment a boiler, air heater, or glass melting furnace or an intermittent brick kiln?</t>
  </si>
  <si>
    <t xml:space="preserve">Boiler, Air Heater, or Glass Melting Furnace or Intermittent Brick Kiln </t>
  </si>
  <si>
    <r>
      <t>𝑓</t>
    </r>
    <r>
      <rPr>
        <i/>
        <sz val="11"/>
        <color theme="1"/>
        <rFont val="Calibri (Body)"/>
      </rPr>
      <t>𝑑</t>
    </r>
    <r>
      <rPr>
        <i/>
        <vertAlign val="subscript"/>
        <sz val="11"/>
        <color theme="1"/>
        <rFont val="Calibri (Body)"/>
      </rPr>
      <t>𝐶𝐻4,𝐻𝐺,𝑗,𝑑𝑒𝑓𝑎𝑢𝑙𝑡</t>
    </r>
    <r>
      <rPr>
        <i/>
        <sz val="11"/>
        <color theme="1"/>
        <rFont val="Calibri"/>
        <family val="2"/>
        <scheme val="minor"/>
      </rPr>
      <t xml:space="preserve"> </t>
    </r>
  </si>
  <si>
    <t>Default value for the fraction of methane destroyed when used for heat generation equipment type j</t>
  </si>
  <si>
    <t xml:space="preserve">If heat generation equipment is a boiler, air heater, or glass melting furnace then use field F8 in "HGE (Other)" schema, if heat generation equipment is an intermittent brick kiln then use 
field F10 in "HE (Other)" schema </t>
  </si>
  <si>
    <r>
      <t>𝐹</t>
    </r>
    <r>
      <rPr>
        <vertAlign val="subscript"/>
        <sz val="11"/>
        <color theme="1"/>
        <rFont val="Calibri (Body)"/>
      </rPr>
      <t>𝐶𝐻4,𝐻𝐺,𝑗,y</t>
    </r>
  </si>
  <si>
    <t>Amount of methane in the LFG which is used for heat generation equipment type j in year y (t CH4/yr)</t>
  </si>
  <si>
    <t xml:space="preserve">Boiler, Air Heater, or Glass Melting Furnace </t>
  </si>
  <si>
    <r>
      <t>𝑓</t>
    </r>
    <r>
      <rPr>
        <sz val="11"/>
        <color theme="1"/>
        <rFont val="Calibri (Body)"/>
      </rPr>
      <t>𝑑</t>
    </r>
    <r>
      <rPr>
        <vertAlign val="subscript"/>
        <sz val="11"/>
        <color theme="1"/>
        <rFont val="Calibri (Body)"/>
      </rPr>
      <t xml:space="preserve">𝐶𝐻4,𝐻𝐺,𝑗,𝑑𝑒𝑓𝑎𝑢𝑙𝑡 </t>
    </r>
  </si>
  <si>
    <t>Default value for the fraction of methane destroyed when 
used for heat generation equipment type j</t>
  </si>
  <si>
    <t xml:space="preserve">Intermittent Brick Kiln </t>
  </si>
  <si>
    <t xml:space="preserve">Brick Kiln or Intermittent Brick Kiln </t>
  </si>
  <si>
    <t xml:space="preserve">Document Upload </t>
  </si>
  <si>
    <t xml:space="preserve">N/A </t>
  </si>
  <si>
    <r>
      <t>Project Proponent: Please provide supporting evidence that includes your calculations for all necessary parameters for Equation 20 of CDM ACM 0001 including:  𝐹</t>
    </r>
    <r>
      <rPr>
        <vertAlign val="subscript"/>
        <sz val="11"/>
        <color theme="1"/>
        <rFont val="Calibri (Body)"/>
      </rPr>
      <t xml:space="preserve">𝐶𝐻4,𝐻𝐺,𝑑𝑒𝑠𝑡,𝑗,y  , </t>
    </r>
    <r>
      <rPr>
        <sz val="11"/>
        <color theme="1"/>
        <rFont val="Calibri (Body)"/>
      </rPr>
      <t>𝑓𝑑</t>
    </r>
    <r>
      <rPr>
        <vertAlign val="subscript"/>
        <sz val="11"/>
        <color theme="1"/>
        <rFont val="Calibri (Body)"/>
      </rPr>
      <t xml:space="preserve">𝐶𝐻4,𝑘𝑖𝑙𝑛,ℎ, </t>
    </r>
    <r>
      <rPr>
        <sz val="11"/>
        <color theme="1"/>
        <rFont val="Calibri (Body)"/>
      </rPr>
      <t>and 𝐹</t>
    </r>
    <r>
      <rPr>
        <vertAlign val="subscript"/>
        <sz val="11"/>
        <color theme="1"/>
        <rFont val="Calibri (Body)"/>
      </rPr>
      <t>𝐶𝐻4,𝐻𝐺,𝑘𝑖𝑙𝑛,ℎ.</t>
    </r>
    <r>
      <rPr>
        <sz val="11"/>
        <color theme="1"/>
        <rFont val="Calibri"/>
        <family val="2"/>
        <scheme val="minor"/>
      </rPr>
      <t xml:space="preserve">
</t>
    </r>
  </si>
  <si>
    <t xml:space="preserve">Select which of the following cases applies to your project: Case A: volume flow = dry basis and volumetric fraction = dry or wet basis. Case B: volume flow = wet basis and volumetric fraction = dry basis. Case C: volume flow = wet basis and volumetric fraction = wet basis. Case D: mass flow = dry basis and volumetric flow = dry or wet basis. Case E: mass flow = wet basis and volumetric fraction = dry basis. Case F: mass flow = wet basis and volumetric fraction = wet basis. 
</t>
  </si>
  <si>
    <t xml:space="preserve">No </t>
  </si>
  <si>
    <t xml:space="preserve">Case A or Case B or Case C or Case D or Case E or Case F </t>
  </si>
  <si>
    <t xml:space="preserve">If you selcted Case B or Case E, select Case 1 if you will be calculating using the moisture content or select Case 2 if you will not be calculating the moisture content. If you haven't selected Case B or Case E select N/A. 
</t>
  </si>
  <si>
    <t>Case 1 or Case 2 or N/A</t>
  </si>
  <si>
    <t xml:space="preserve">Default Values </t>
  </si>
  <si>
    <t xml:space="preserve">Auto-Calculate </t>
  </si>
  <si>
    <r>
      <t>R</t>
    </r>
    <r>
      <rPr>
        <vertAlign val="subscript"/>
        <sz val="11"/>
        <color theme="1"/>
        <rFont val="Calibri (Body)"/>
      </rPr>
      <t>u</t>
    </r>
  </si>
  <si>
    <t>Universal ideal gases constant (Pa.m3/kmol.K)</t>
  </si>
  <si>
    <r>
      <t>MM</t>
    </r>
    <r>
      <rPr>
        <vertAlign val="subscript"/>
        <sz val="11"/>
        <color theme="1"/>
        <rFont val="Calibri (Body)"/>
      </rPr>
      <t>H2O</t>
    </r>
  </si>
  <si>
    <t>Molecular mass of water (kg/kmol)</t>
  </si>
  <si>
    <r>
      <t>P</t>
    </r>
    <r>
      <rPr>
        <vertAlign val="subscript"/>
        <sz val="11"/>
        <color theme="1"/>
        <rFont val="Calibri (Body)"/>
      </rPr>
      <t>n</t>
    </r>
  </si>
  <si>
    <t>Absolute pressure at normal conditions (Pa)</t>
  </si>
  <si>
    <r>
      <t>T</t>
    </r>
    <r>
      <rPr>
        <vertAlign val="subscript"/>
        <sz val="11"/>
        <color theme="1"/>
        <rFont val="Calibri (Body)"/>
      </rPr>
      <t>n</t>
    </r>
  </si>
  <si>
    <t>Temperature at normal conditions (K)</t>
  </si>
  <si>
    <t>Molecular Mass of Gas k (kg/kmol)</t>
  </si>
  <si>
    <r>
      <t>MM</t>
    </r>
    <r>
      <rPr>
        <vertAlign val="subscript"/>
        <sz val="11"/>
        <color theme="1"/>
        <rFont val="Calibri (Body)"/>
      </rPr>
      <t>k</t>
    </r>
  </si>
  <si>
    <r>
      <t>Nitrogen (N</t>
    </r>
    <r>
      <rPr>
        <vertAlign val="subscript"/>
        <sz val="11"/>
        <color theme="1"/>
        <rFont val="Calibri (Body)"/>
      </rPr>
      <t>2</t>
    </r>
    <r>
      <rPr>
        <sz val="11"/>
        <color theme="1"/>
        <rFont val="Calibri"/>
        <family val="2"/>
        <scheme val="minor"/>
      </rPr>
      <t>)</t>
    </r>
  </si>
  <si>
    <r>
      <t>Oxygen (O</t>
    </r>
    <r>
      <rPr>
        <vertAlign val="subscript"/>
        <sz val="11"/>
        <color theme="1"/>
        <rFont val="Calibri (Body)"/>
      </rPr>
      <t>2</t>
    </r>
    <r>
      <rPr>
        <sz val="11"/>
        <color theme="1"/>
        <rFont val="Calibri"/>
        <family val="2"/>
        <scheme val="minor"/>
      </rPr>
      <t>)</t>
    </r>
  </si>
  <si>
    <t>Carbon monoxide (CO)</t>
  </si>
  <si>
    <r>
      <t>Hydrogen (H</t>
    </r>
    <r>
      <rPr>
        <vertAlign val="subscript"/>
        <sz val="11"/>
        <color theme="1"/>
        <rFont val="Calibri (Body)"/>
      </rPr>
      <t>2</t>
    </r>
    <r>
      <rPr>
        <sz val="11"/>
        <color theme="1"/>
        <rFont val="Calibri"/>
        <family val="2"/>
        <scheme val="minor"/>
      </rPr>
      <t>)</t>
    </r>
  </si>
  <si>
    <t>Nitric oxide (NO)</t>
  </si>
  <si>
    <r>
      <t>Nitrogen dioxide (NO</t>
    </r>
    <r>
      <rPr>
        <vertAlign val="subscript"/>
        <sz val="11"/>
        <color theme="1"/>
        <rFont val="Calibri (Body)"/>
      </rPr>
      <t>2</t>
    </r>
    <r>
      <rPr>
        <sz val="11"/>
        <color theme="1"/>
        <rFont val="Calibri"/>
        <family val="2"/>
        <scheme val="minor"/>
      </rPr>
      <t>)</t>
    </r>
  </si>
  <si>
    <r>
      <t>Sulfur dioxide (SO</t>
    </r>
    <r>
      <rPr>
        <vertAlign val="subscript"/>
        <sz val="11"/>
        <color theme="1"/>
        <rFont val="Calibri (Body)"/>
      </rPr>
      <t>2</t>
    </r>
    <r>
      <rPr>
        <sz val="11"/>
        <color theme="1"/>
        <rFont val="Calibri"/>
        <family val="2"/>
        <scheme val="minor"/>
      </rPr>
      <t>)</t>
    </r>
  </si>
  <si>
    <t>Molecular Mass of Greenhouse Gas i (kg/kmol)</t>
  </si>
  <si>
    <r>
      <t>MM</t>
    </r>
    <r>
      <rPr>
        <vertAlign val="subscript"/>
        <sz val="11"/>
        <color theme="1"/>
        <rFont val="Calibri (Body)"/>
      </rPr>
      <t>i</t>
    </r>
  </si>
  <si>
    <r>
      <t>Carbon dioxide (CO</t>
    </r>
    <r>
      <rPr>
        <vertAlign val="subscript"/>
        <sz val="11"/>
        <color theme="1"/>
        <rFont val="Calibri (Body)"/>
      </rPr>
      <t>2</t>
    </r>
    <r>
      <rPr>
        <sz val="11"/>
        <color theme="1"/>
        <rFont val="Calibri"/>
        <family val="2"/>
        <scheme val="minor"/>
      </rPr>
      <t>)</t>
    </r>
  </si>
  <si>
    <r>
      <t>Methane (CH</t>
    </r>
    <r>
      <rPr>
        <vertAlign val="subscript"/>
        <sz val="11"/>
        <color theme="1"/>
        <rFont val="Calibri (Body)"/>
      </rPr>
      <t>4</t>
    </r>
    <r>
      <rPr>
        <sz val="11"/>
        <color theme="1"/>
        <rFont val="Calibri"/>
        <family val="2"/>
        <scheme val="minor"/>
      </rPr>
      <t>)</t>
    </r>
  </si>
  <si>
    <r>
      <t>Nitrous oxide (N</t>
    </r>
    <r>
      <rPr>
        <vertAlign val="subscript"/>
        <sz val="11"/>
        <color theme="1"/>
        <rFont val="Calibri (Body)"/>
      </rPr>
      <t>2</t>
    </r>
    <r>
      <rPr>
        <sz val="11"/>
        <color theme="1"/>
        <rFont val="Calibri"/>
        <family val="2"/>
        <scheme val="minor"/>
      </rPr>
      <t>O)</t>
    </r>
  </si>
  <si>
    <r>
      <t>Sulfur hexafluoride (SF</t>
    </r>
    <r>
      <rPr>
        <vertAlign val="subscript"/>
        <sz val="11"/>
        <color theme="1"/>
        <rFont val="Calibri (Body)"/>
      </rPr>
      <t>6</t>
    </r>
    <r>
      <rPr>
        <sz val="11"/>
        <color theme="1"/>
        <rFont val="Calibri"/>
        <family val="2"/>
        <scheme val="minor"/>
      </rPr>
      <t>)</t>
    </r>
  </si>
  <si>
    <r>
      <t>Perfluoromethane (CF</t>
    </r>
    <r>
      <rPr>
        <vertAlign val="subscript"/>
        <sz val="11"/>
        <color theme="1"/>
        <rFont val="Calibri (Body)"/>
      </rPr>
      <t>4</t>
    </r>
    <r>
      <rPr>
        <sz val="11"/>
        <color theme="1"/>
        <rFont val="Calibri"/>
        <family val="2"/>
        <scheme val="minor"/>
      </rPr>
      <t>)</t>
    </r>
  </si>
  <si>
    <r>
      <t>Perfluoroethane (C</t>
    </r>
    <r>
      <rPr>
        <vertAlign val="subscript"/>
        <sz val="11"/>
        <color theme="1"/>
        <rFont val="Calibri (Body)"/>
      </rPr>
      <t>2</t>
    </r>
    <r>
      <rPr>
        <sz val="11"/>
        <color theme="1"/>
        <rFont val="Calibri"/>
        <family val="2"/>
        <scheme val="minor"/>
      </rPr>
      <t>F</t>
    </r>
    <r>
      <rPr>
        <vertAlign val="subscript"/>
        <sz val="11"/>
        <color theme="1"/>
        <rFont val="Calibri (Body)"/>
      </rPr>
      <t>6</t>
    </r>
    <r>
      <rPr>
        <sz val="11"/>
        <color theme="1"/>
        <rFont val="Calibri"/>
        <family val="2"/>
        <scheme val="minor"/>
      </rPr>
      <t>)</t>
    </r>
  </si>
  <si>
    <r>
      <t>Perfluoropropane (C</t>
    </r>
    <r>
      <rPr>
        <vertAlign val="subscript"/>
        <sz val="11"/>
        <color theme="1"/>
        <rFont val="Calibri (Body)"/>
      </rPr>
      <t>3</t>
    </r>
    <r>
      <rPr>
        <sz val="11"/>
        <color theme="1"/>
        <rFont val="Calibri"/>
        <family val="2"/>
        <scheme val="minor"/>
      </rPr>
      <t>F</t>
    </r>
    <r>
      <rPr>
        <vertAlign val="subscript"/>
        <sz val="11"/>
        <color theme="1"/>
        <rFont val="Calibri (Body)"/>
      </rPr>
      <t>8</t>
    </r>
    <r>
      <rPr>
        <sz val="11"/>
        <color theme="1"/>
        <rFont val="Calibri"/>
        <family val="2"/>
        <scheme val="minor"/>
      </rPr>
      <t>)</t>
    </r>
  </si>
  <si>
    <r>
      <t>Perfluorobutane (C</t>
    </r>
    <r>
      <rPr>
        <vertAlign val="subscript"/>
        <sz val="11"/>
        <color theme="1"/>
        <rFont val="Calibri (Body)"/>
      </rPr>
      <t>4</t>
    </r>
    <r>
      <rPr>
        <sz val="11"/>
        <color theme="1"/>
        <rFont val="Calibri"/>
        <family val="2"/>
        <scheme val="minor"/>
      </rPr>
      <t>F</t>
    </r>
    <r>
      <rPr>
        <vertAlign val="subscript"/>
        <sz val="11"/>
        <color theme="1"/>
        <rFont val="Calibri (Body)"/>
      </rPr>
      <t>10</t>
    </r>
    <r>
      <rPr>
        <sz val="11"/>
        <color theme="1"/>
        <rFont val="Calibri"/>
        <family val="2"/>
        <scheme val="minor"/>
      </rPr>
      <t>)</t>
    </r>
  </si>
  <si>
    <r>
      <t>Perfluorocyclobutane (c-C</t>
    </r>
    <r>
      <rPr>
        <vertAlign val="subscript"/>
        <sz val="11"/>
        <color theme="1"/>
        <rFont val="Calibri (Body)"/>
      </rPr>
      <t>4</t>
    </r>
    <r>
      <rPr>
        <sz val="11"/>
        <color theme="1"/>
        <rFont val="Calibri"/>
        <family val="2"/>
        <scheme val="minor"/>
      </rPr>
      <t>F</t>
    </r>
    <r>
      <rPr>
        <vertAlign val="subscript"/>
        <sz val="11"/>
        <color theme="1"/>
        <rFont val="Calibri (Body)"/>
      </rPr>
      <t>8</t>
    </r>
    <r>
      <rPr>
        <sz val="11"/>
        <color theme="1"/>
        <rFont val="Calibri"/>
        <family val="2"/>
        <scheme val="minor"/>
      </rPr>
      <t>)</t>
    </r>
  </si>
  <si>
    <r>
      <t>Perfluoropentane (C</t>
    </r>
    <r>
      <rPr>
        <vertAlign val="subscript"/>
        <sz val="11"/>
        <color theme="1"/>
        <rFont val="Calibri (Body)"/>
      </rPr>
      <t>5</t>
    </r>
    <r>
      <rPr>
        <sz val="11"/>
        <color theme="1"/>
        <rFont val="Calibri"/>
        <family val="2"/>
        <scheme val="minor"/>
      </rPr>
      <t>F</t>
    </r>
    <r>
      <rPr>
        <vertAlign val="subscript"/>
        <sz val="11"/>
        <color theme="1"/>
        <rFont val="Calibri (Body)"/>
      </rPr>
      <t>12</t>
    </r>
    <r>
      <rPr>
        <sz val="11"/>
        <color theme="1"/>
        <rFont val="Calibri"/>
        <family val="2"/>
        <scheme val="minor"/>
      </rPr>
      <t>)</t>
    </r>
  </si>
  <si>
    <r>
      <t>Perfluorohexane (C</t>
    </r>
    <r>
      <rPr>
        <vertAlign val="subscript"/>
        <sz val="11"/>
        <color theme="1"/>
        <rFont val="Calibri (Body)"/>
      </rPr>
      <t>6</t>
    </r>
    <r>
      <rPr>
        <sz val="11"/>
        <color theme="1"/>
        <rFont val="Calibri"/>
        <family val="2"/>
        <scheme val="minor"/>
      </rPr>
      <t>F</t>
    </r>
    <r>
      <rPr>
        <vertAlign val="subscript"/>
        <sz val="11"/>
        <color theme="1"/>
        <rFont val="Calibri (Body)"/>
      </rPr>
      <t>14</t>
    </r>
    <r>
      <rPr>
        <sz val="11"/>
        <color theme="1"/>
        <rFont val="Calibri"/>
        <family val="2"/>
        <scheme val="minor"/>
      </rPr>
      <t>)</t>
    </r>
  </si>
  <si>
    <t xml:space="preserve">Option A </t>
  </si>
  <si>
    <r>
      <t>F</t>
    </r>
    <r>
      <rPr>
        <vertAlign val="subscript"/>
        <sz val="11"/>
        <color theme="1"/>
        <rFont val="Calibri (Body)"/>
      </rPr>
      <t>i,t</t>
    </r>
  </si>
  <si>
    <t>Mass flow of greenhouse gas i in the gaseous stream in time interval t (kg gas/h)</t>
  </si>
  <si>
    <r>
      <t>V</t>
    </r>
    <r>
      <rPr>
        <vertAlign val="subscript"/>
        <sz val="11"/>
        <color theme="1"/>
        <rFont val="Calibri (Body)"/>
      </rPr>
      <t>t,db</t>
    </r>
  </si>
  <si>
    <t>Volumetric flow of the gaseous stream in time interval t on a dry basis (m³ dry gas/h)</t>
  </si>
  <si>
    <r>
      <rPr>
        <sz val="11"/>
        <color theme="1"/>
        <rFont val="Calibri (Body)"/>
      </rPr>
      <t>v</t>
    </r>
    <r>
      <rPr>
        <vertAlign val="subscript"/>
        <sz val="11"/>
        <color theme="1"/>
        <rFont val="Calibri (Body)"/>
      </rPr>
      <t xml:space="preserve">i,t,db </t>
    </r>
  </si>
  <si>
    <t xml:space="preserve">Volumetric fraction of greenhouse gas i in the gaseous stream in a time interval t on a dry basis (m³ gas i/m³ dry gas) </t>
  </si>
  <si>
    <r>
      <t>ρ</t>
    </r>
    <r>
      <rPr>
        <vertAlign val="subscript"/>
        <sz val="11"/>
        <color theme="1"/>
        <rFont val="Calibri (Body)"/>
      </rPr>
      <t>i,t</t>
    </r>
  </si>
  <si>
    <t>Density of greenhouse gas i in the gaseous stream in time interval t (kg gas i/m³ gas i)</t>
  </si>
  <si>
    <r>
      <t>P</t>
    </r>
    <r>
      <rPr>
        <vertAlign val="subscript"/>
        <sz val="11"/>
        <color theme="1"/>
        <rFont val="Calibri (Body)"/>
      </rPr>
      <t>t</t>
    </r>
  </si>
  <si>
    <t>Absolute pressure of the gaseous stream in time interval t (Pa)</t>
  </si>
  <si>
    <t>Select which greenhouse gas: Carbon dioxide, Methane, Nitrous oxide, Sulfur hexafluoride, Perfluoromethane, Perfluoroethane, Perfluoropropane, Perfluorobutane, Perfluorocyclobutane, Perfluoropentane, or Perfluorohexane?</t>
  </si>
  <si>
    <t xml:space="preserve">Carbon dioxide or Methane or Nitrous oxide or  Sulfur hexafluoride or Perfluoromethane or Perfluoroethane or Perfluoropropane or Perfluorobutane or Perfluorocyclobutane or Perfluoropentane or Perfluorohexane
</t>
  </si>
  <si>
    <t>Molecular mass of greenhouse gas i (kg/kmol)</t>
  </si>
  <si>
    <t xml:space="preserve">If Carbon dioxide then use field F18 in "TOOL08" schema, if Methane then use field F19 in "TOOL08" schema, if Nitrous oxide then use field F20 in "TOOL08" schema, if Sulfur hexafluoride then use field F21 in "TOOL08" schema, if Perfluoromethane then use field F22 in "TOOL08" schema, if Perfluoroethane then use field F23 in "TOOL08" schema, if Perfluoropropane then use field F24 in "TOOL08" schema, if Perfluorobutane then use field F25 in "TOOL08" schema, if Perfluorocyclobutane then use field F26 in "TOOL08" schema, if Perfluoropentane then use field F27 in "TOOL08" schema, if Perfluorohexane then use field F28 in "TOOL08" schema </t>
  </si>
  <si>
    <r>
      <t>T</t>
    </r>
    <r>
      <rPr>
        <vertAlign val="subscript"/>
        <sz val="11"/>
        <color theme="1"/>
        <rFont val="Calibri (Body)"/>
      </rPr>
      <t>t</t>
    </r>
  </si>
  <si>
    <t>Temperature of the gaseous stream in time interval t (K)</t>
  </si>
  <si>
    <t xml:space="preserve">Option B </t>
  </si>
  <si>
    <r>
      <t>V</t>
    </r>
    <r>
      <rPr>
        <vertAlign val="subscript"/>
        <sz val="11"/>
        <color theme="1"/>
        <rFont val="Calibri (Body)"/>
      </rPr>
      <t>t,wb</t>
    </r>
    <r>
      <rPr>
        <sz val="11"/>
        <color theme="1"/>
        <rFont val="Calibri"/>
        <family val="2"/>
        <scheme val="minor"/>
      </rPr>
      <t xml:space="preserve"> </t>
    </r>
  </si>
  <si>
    <t>Volumetric flow of the gaseous stream in time interval t on a wet basis (m³ wet gas/h)</t>
  </si>
  <si>
    <r>
      <t>v</t>
    </r>
    <r>
      <rPr>
        <vertAlign val="subscript"/>
        <sz val="11"/>
        <color theme="1"/>
        <rFont val="Calibri (Body)"/>
      </rPr>
      <t>H2O,t,db</t>
    </r>
  </si>
  <si>
    <t>Volumetric fraction of H2O in the gaseous stream in time interval t on a dry basis (m³ H2O/m³ dry gas)</t>
  </si>
  <si>
    <r>
      <t>m</t>
    </r>
    <r>
      <rPr>
        <vertAlign val="subscript"/>
        <sz val="11"/>
        <color theme="1"/>
        <rFont val="Calibri (Body)"/>
      </rPr>
      <t>H2O,t,db</t>
    </r>
  </si>
  <si>
    <t>Absolute humidity in the gaseous stream in time interval t on a dry basis (kg H2O/kg dry gas)</t>
  </si>
  <si>
    <t xml:space="preserve">If measuring moisture content then use field F89 in "TOOL08" shcema, if not measuring moisture content then use field F94 in "TOOL08" schema </t>
  </si>
  <si>
    <r>
      <t>MM</t>
    </r>
    <r>
      <rPr>
        <vertAlign val="subscript"/>
        <sz val="11"/>
        <color theme="1"/>
        <rFont val="Calibri (Body)"/>
      </rPr>
      <t>t,db</t>
    </r>
  </si>
  <si>
    <t>Molecular mass of the gaseous stream in time interval t on a dry basis (kg dry gas/kmol dry gas)</t>
  </si>
  <si>
    <t>Option C</t>
  </si>
  <si>
    <r>
      <t>V</t>
    </r>
    <r>
      <rPr>
        <vertAlign val="subscript"/>
        <sz val="11"/>
        <color theme="1"/>
        <rFont val="Calibri (Body)"/>
      </rPr>
      <t xml:space="preserve">t,wb, n </t>
    </r>
  </si>
  <si>
    <t>Volumetric flow of the gaseous stream in time interval t on a wet basis at normal conditions (m³ wet gas/h)</t>
  </si>
  <si>
    <r>
      <t>v</t>
    </r>
    <r>
      <rPr>
        <vertAlign val="subscript"/>
        <sz val="11"/>
        <color theme="1"/>
        <rFont val="Calibri (Body)"/>
      </rPr>
      <t xml:space="preserve">i,t,wb </t>
    </r>
  </si>
  <si>
    <t>Volumetric fraction of greenhouse gas i in the gaseous stream in time interval t on a wet basis (m³ gas i/m³ wet gas)</t>
  </si>
  <si>
    <r>
      <t>ρ</t>
    </r>
    <r>
      <rPr>
        <vertAlign val="subscript"/>
        <sz val="11"/>
        <color theme="1"/>
        <rFont val="Calibri (Body)"/>
      </rPr>
      <t xml:space="preserve">i,n </t>
    </r>
  </si>
  <si>
    <t xml:space="preserve">Density of greenhouse gas i in the gaseous stream at normal conditions (kg gas i/m³ wet gas i) </t>
  </si>
  <si>
    <r>
      <t>V</t>
    </r>
    <r>
      <rPr>
        <vertAlign val="subscript"/>
        <sz val="11"/>
        <color theme="1"/>
        <rFont val="Calibri (Body)"/>
      </rPr>
      <t>t,wb</t>
    </r>
  </si>
  <si>
    <t xml:space="preserve">Volumetric flow of the gaseous stream in time interval t on a wet basis (m³ wet gas/h) </t>
  </si>
  <si>
    <t>Pressure of the gaseous stream in time interval t (Pa)</t>
  </si>
  <si>
    <t>Option D</t>
  </si>
  <si>
    <r>
      <t>M</t>
    </r>
    <r>
      <rPr>
        <vertAlign val="subscript"/>
        <sz val="11"/>
        <color theme="1"/>
        <rFont val="Calibri (Body)"/>
      </rPr>
      <t xml:space="preserve">t,db </t>
    </r>
  </si>
  <si>
    <t>Mass flow of the gaseous stream in time interval t on a dry basis (kg/h)</t>
  </si>
  <si>
    <r>
      <t>ρ</t>
    </r>
    <r>
      <rPr>
        <vertAlign val="subscript"/>
        <sz val="11"/>
        <color theme="1"/>
        <rFont val="Calibri (Body)"/>
      </rPr>
      <t>t,db</t>
    </r>
  </si>
  <si>
    <t>Density of the gaseous stream in time interval t on a dry basis (kg dry gas/m3 dry gas)</t>
  </si>
  <si>
    <t xml:space="preserve">Option E </t>
  </si>
  <si>
    <r>
      <t>M</t>
    </r>
    <r>
      <rPr>
        <vertAlign val="subscript"/>
        <sz val="11"/>
        <color theme="1"/>
        <rFont val="Calibri (Body)"/>
      </rPr>
      <t>t,db</t>
    </r>
  </si>
  <si>
    <r>
      <t>M</t>
    </r>
    <r>
      <rPr>
        <vertAlign val="subscript"/>
        <sz val="11"/>
        <color theme="1"/>
        <rFont val="Calibri (Body)"/>
      </rPr>
      <t>t,wb</t>
    </r>
  </si>
  <si>
    <t>Mass flow of the gaseous stream in time interval t on a wet basis (kg/h)</t>
  </si>
  <si>
    <t>Absolute humidity of H2O in the gaseous stream in a time interval t on a dry basis (kg H2O/kg dry gas)</t>
  </si>
  <si>
    <r>
      <t>ρ</t>
    </r>
    <r>
      <rPr>
        <vertAlign val="subscript"/>
        <sz val="11"/>
        <color theme="1"/>
        <rFont val="Calibri (Body)"/>
      </rPr>
      <t xml:space="preserve">t,db </t>
    </r>
  </si>
  <si>
    <t xml:space="preserve">Option F </t>
  </si>
  <si>
    <r>
      <t>M</t>
    </r>
    <r>
      <rPr>
        <vertAlign val="subscript"/>
        <sz val="11"/>
        <color theme="1"/>
        <rFont val="Calibri (Body)"/>
      </rPr>
      <t xml:space="preserve">t,wb </t>
    </r>
  </si>
  <si>
    <r>
      <t>ρ</t>
    </r>
    <r>
      <rPr>
        <vertAlign val="subscript"/>
        <sz val="11"/>
        <color theme="1"/>
        <rFont val="Calibri (Body)"/>
      </rPr>
      <t>t,wb,n</t>
    </r>
    <r>
      <rPr>
        <sz val="11"/>
        <color theme="1"/>
        <rFont val="Calibri"/>
        <family val="2"/>
        <scheme val="minor"/>
      </rPr>
      <t xml:space="preserve"> </t>
    </r>
  </si>
  <si>
    <t>Density of the gaseous stream in time interval t on a wet basis at normal conditions (kg wet gas/m3 wet gas)</t>
  </si>
  <si>
    <r>
      <t>MM</t>
    </r>
    <r>
      <rPr>
        <vertAlign val="subscript"/>
        <sz val="11"/>
        <color theme="1"/>
        <rFont val="Calibri (Body)"/>
      </rPr>
      <t xml:space="preserve">t,wb </t>
    </r>
  </si>
  <si>
    <t>Molecular mass of the gaseous stream in time interval t on a wet basis (kg wet gas/kmol wet gas)</t>
  </si>
  <si>
    <t xml:space="preserve">Option 1 </t>
  </si>
  <si>
    <r>
      <t>m</t>
    </r>
    <r>
      <rPr>
        <vertAlign val="subscript"/>
        <sz val="11"/>
        <color theme="1"/>
        <rFont val="Calibri (Body)"/>
      </rPr>
      <t xml:space="preserve">H2O,t,db </t>
    </r>
  </si>
  <si>
    <t>Absolute humidity of the gaseous stream in time interval t on a dry basis (kg H2O/kg dry gas)</t>
  </si>
  <si>
    <r>
      <t>C</t>
    </r>
    <r>
      <rPr>
        <vertAlign val="subscript"/>
        <sz val="11"/>
        <color theme="1"/>
        <rFont val="Calibri (Body)"/>
      </rPr>
      <t>H2O,t,db,n</t>
    </r>
  </si>
  <si>
    <t>Moisture content of the gaseous stream in time interval t on a dry basis at normal conditions (mg H2O/m3 dry gas)</t>
  </si>
  <si>
    <r>
      <t>ρ</t>
    </r>
    <r>
      <rPr>
        <vertAlign val="subscript"/>
        <sz val="11"/>
        <color theme="1"/>
        <rFont val="Calibri (Body)"/>
      </rPr>
      <t xml:space="preserve">t,db,n </t>
    </r>
  </si>
  <si>
    <t>Density of the gaseous stream in time interval t on a dry basis at normal conditions (kg dry gas/m3 dry gas)</t>
  </si>
  <si>
    <r>
      <t>MM</t>
    </r>
    <r>
      <rPr>
        <vertAlign val="subscript"/>
        <sz val="11"/>
        <color theme="1"/>
        <rFont val="Calibri (Body)"/>
      </rPr>
      <t>t,db</t>
    </r>
    <r>
      <rPr>
        <sz val="11"/>
        <color theme="1"/>
        <rFont val="Calibri"/>
        <family val="2"/>
        <scheme val="minor"/>
      </rPr>
      <t xml:space="preserve"> </t>
    </r>
  </si>
  <si>
    <t>Molecular mass of the gaseous stream in a time interval t on a dry basis (kg dry gas/kmol dry gas)</t>
  </si>
  <si>
    <t xml:space="preserve">Option 2 </t>
  </si>
  <si>
    <r>
      <t>m</t>
    </r>
    <r>
      <rPr>
        <vertAlign val="subscript"/>
        <sz val="11"/>
        <color theme="1"/>
        <rFont val="Calibri (Body)"/>
      </rPr>
      <t>H2O,t,db,sat</t>
    </r>
  </si>
  <si>
    <t>Saturation absolute humidity in time interval t on a dry basis (kg H2O/kg dry gas)</t>
  </si>
  <si>
    <r>
      <t>p</t>
    </r>
    <r>
      <rPr>
        <vertAlign val="subscript"/>
        <sz val="11"/>
        <color theme="1"/>
        <rFont val="Calibri (Body)"/>
      </rPr>
      <t>H20,t,Sat</t>
    </r>
  </si>
  <si>
    <t>Saturation pressure of H2O at temperature Tt in time 
interval t (Pa)</t>
  </si>
  <si>
    <t>Absolute pressure of the gaseous stream in time interval t 
(Pa)</t>
  </si>
  <si>
    <t>[Click to add Gases]</t>
  </si>
  <si>
    <t>k</t>
  </si>
  <si>
    <t>All gases, except H2O, contained in the gaseous stream (e.g. N2, CO2, O2, CO, H2, CH4, N2O, NO, NO2, SO2, SF6 and PFCs)</t>
  </si>
  <si>
    <r>
      <t>V</t>
    </r>
    <r>
      <rPr>
        <vertAlign val="subscript"/>
        <sz val="11"/>
        <color theme="1"/>
        <rFont val="Calibri (Body)"/>
      </rPr>
      <t>k,t,db</t>
    </r>
    <r>
      <rPr>
        <sz val="11"/>
        <color theme="1"/>
        <rFont val="Calibri"/>
        <family val="2"/>
        <scheme val="minor"/>
      </rPr>
      <t xml:space="preserve"> or V</t>
    </r>
    <r>
      <rPr>
        <vertAlign val="subscript"/>
        <sz val="11"/>
        <color theme="1"/>
        <rFont val="Calibri (Body)"/>
      </rPr>
      <t>k ,t,wb</t>
    </r>
  </si>
  <si>
    <t>Volumetric fraction of gas k in the gaseous stream in time interval t on a dry basis (m³ gas k/m³ dry gas) or Volumetric fraction of gas k in the gaseous stream in time interval t on a wet basis (m³ gas k/m³ wet gas)</t>
  </si>
  <si>
    <t xml:space="preserve">Select which gas: Nitrogen, Oxygen, Carbon monoxide, Hydrogen, Nitric oxide, Nitrogen dioxide, or Sulfur dioxide? </t>
  </si>
  <si>
    <t>Nitrogen or Oxygen or Carbon monoxide or Hydrogen or Nitric oxide or Nitrogen dioxide or Sulfur dioxide</t>
  </si>
  <si>
    <t>Molecular mass of gas k (kg/kmol)</t>
  </si>
  <si>
    <t>If Nitrogen then use field F10 in "TOOL08" schema, if Oxygen then use field F11 in "TOOL08" schema, if Carbon monoxide then use field F12 in "TOOL08" schema, if Hydrogen then use field F13 in "TOOL08" schema, if Nitric Oxide then use field F14 in "TOOL08" schema, if Nitrogen dioxide then use field F15 in "TOOL08" schema, if Sulfur dioxide then use field F16 in "TOOL08" schema</t>
  </si>
  <si>
    <t>Selective Disclosure</t>
  </si>
  <si>
    <t>Multiple Answers</t>
  </si>
  <si>
    <t>Notes</t>
  </si>
  <si>
    <t xml:space="preserve">Tool 03: Tool to calculate project or leakage CO2 emissions from fossil fuel combustion </t>
  </si>
  <si>
    <t>Auto-Calculated</t>
  </si>
  <si>
    <r>
      <t>PE</t>
    </r>
    <r>
      <rPr>
        <vertAlign val="subscript"/>
        <sz val="18"/>
        <color theme="1"/>
        <rFont val="Calibri"/>
        <family val="2"/>
        <scheme val="minor"/>
      </rPr>
      <t xml:space="preserve">FC,j,y </t>
    </r>
  </si>
  <si>
    <t>Total CO2 emissions from fossil fuel combustion in process j during the year y (tCO2/yr) (From all Cases)</t>
  </si>
  <si>
    <t>Sum of emissions from all cases added.</t>
  </si>
  <si>
    <t>Case 1: Questionnaire to determine calculation method 
[Click to add project or leakage CO2 emissions from fossil fuel combustion based on fuel type]</t>
  </si>
  <si>
    <t>𝑖</t>
  </si>
  <si>
    <t>What fuel types are combusted in the project activity process?</t>
  </si>
  <si>
    <t>Natural gas</t>
  </si>
  <si>
    <t>Specify which combustion process this tool is being applied to</t>
  </si>
  <si>
    <t>Anaerobic digester</t>
  </si>
  <si>
    <t>If/then</t>
  </si>
  <si>
    <t xml:space="preserve">What approach would you like to use to calculate the CO2 emission coefficient? </t>
  </si>
  <si>
    <t>Option A</t>
  </si>
  <si>
    <r>
      <rPr>
        <b/>
        <u/>
        <sz val="11"/>
        <color rgb="FF000000"/>
        <rFont val="Calibri"/>
        <family val="2"/>
        <scheme val="minor"/>
      </rPr>
      <t>Option A:</t>
    </r>
    <r>
      <rPr>
        <sz val="11"/>
        <color rgb="FF000000"/>
        <rFont val="Calibri"/>
        <family val="2"/>
        <scheme val="minor"/>
      </rPr>
      <t xml:space="preserve"> The CO2 emission coefficient is calculated based on the chemical composition of the fossil fuel type. (Option A should be the preferred approach, if the necessary data is available.)
</t>
    </r>
    <r>
      <rPr>
        <b/>
        <u/>
        <sz val="11"/>
        <color rgb="FF000000"/>
        <rFont val="Calibri"/>
        <family val="2"/>
        <scheme val="minor"/>
      </rPr>
      <t>Option B:</t>
    </r>
    <r>
      <rPr>
        <sz val="11"/>
        <color rgb="FF000000"/>
        <rFont val="Calibri"/>
        <family val="2"/>
        <scheme val="minor"/>
      </rPr>
      <t xml:space="preserve"> The CO2 emission coefficient is calculated based on net calorific value and CO2 emission factor of the fuel type. 
</t>
    </r>
  </si>
  <si>
    <t>Is the fuel used measused in a mass or volume unit?</t>
  </si>
  <si>
    <t>Mass</t>
  </si>
  <si>
    <t>Mass or Volume (if Mass is selected then cell F13 should be used, if Volume is selected then cell F14 should be used. Note: Only relavent if Option A is seleted)</t>
  </si>
  <si>
    <t>Emissions</t>
  </si>
  <si>
    <t>CO2 emissions from fossil fuel combustion in process j during the year y (tCO2/yr)</t>
  </si>
  <si>
    <r>
      <t>FC</t>
    </r>
    <r>
      <rPr>
        <vertAlign val="subscript"/>
        <sz val="18"/>
        <color theme="1"/>
        <rFont val="Calibri"/>
        <family val="2"/>
        <scheme val="minor"/>
      </rPr>
      <t>i,j,y</t>
    </r>
  </si>
  <si>
    <t>Quantity of fuel type i combusted in process j during the year y (mass or volume unit/yr)</t>
  </si>
  <si>
    <r>
      <t>COEF</t>
    </r>
    <r>
      <rPr>
        <vertAlign val="subscript"/>
        <sz val="18"/>
        <color theme="1"/>
        <rFont val="Calibri"/>
        <family val="2"/>
        <scheme val="minor"/>
      </rPr>
      <t>i,y</t>
    </r>
  </si>
  <si>
    <t>CO2 emission coefficient of fuel type i in year y (tCO2/mass or volume unit)</t>
  </si>
  <si>
    <t xml:space="preserve">This value will come from cell G14, G15, or G19 depending on the responses from the questionnaire </t>
  </si>
  <si>
    <r>
      <t>The CO2 emission coefficient COEFi,</t>
    </r>
    <r>
      <rPr>
        <i/>
        <sz val="16"/>
        <color rgb="FF000000"/>
        <rFont val="Calibri"/>
        <family val="2"/>
        <scheme val="minor"/>
      </rPr>
      <t xml:space="preserve">y </t>
    </r>
    <r>
      <rPr>
        <b/>
        <sz val="16"/>
        <color rgb="FF000000"/>
        <rFont val="Calibri"/>
        <family val="2"/>
        <scheme val="minor"/>
      </rPr>
      <t>Option A</t>
    </r>
  </si>
  <si>
    <t>CO2 emission coefficient of fuel type i in year y (tCO2/Mass Unit)</t>
  </si>
  <si>
    <t>If Mass Unit</t>
  </si>
  <si>
    <t>CO2 emission coefficient of fuel type i in year y (tCO2/Volume Unit)</t>
  </si>
  <si>
    <t>If Volume Unit</t>
  </si>
  <si>
    <r>
      <t>w</t>
    </r>
    <r>
      <rPr>
        <vertAlign val="subscript"/>
        <sz val="18"/>
        <color theme="1"/>
        <rFont val="Calibri"/>
        <family val="2"/>
        <scheme val="minor"/>
      </rPr>
      <t>c,i,y</t>
    </r>
  </si>
  <si>
    <t>Weighted average mass fraction of carbon in fuel type i in year y (tC/mass unit of the fuel)</t>
  </si>
  <si>
    <r>
      <t>P</t>
    </r>
    <r>
      <rPr>
        <vertAlign val="subscript"/>
        <sz val="18"/>
        <color theme="1"/>
        <rFont val="Calibri"/>
        <family val="2"/>
        <scheme val="minor"/>
      </rPr>
      <t>i,y</t>
    </r>
  </si>
  <si>
    <t>Weighted average density of fuel type i in year y (mass unit/volume unit of the fuel)</t>
  </si>
  <si>
    <t>The CO2 emission coefficient COEFi,y Option B</t>
  </si>
  <si>
    <r>
      <t>NCV</t>
    </r>
    <r>
      <rPr>
        <vertAlign val="subscript"/>
        <sz val="18"/>
        <color theme="1"/>
        <rFont val="Calibri"/>
        <family val="2"/>
        <scheme val="minor"/>
      </rPr>
      <t>i,y</t>
    </r>
  </si>
  <si>
    <t>Weighted average net calorific value of the fuel type i in year y (GJ/mass or volume unit)</t>
  </si>
  <si>
    <r>
      <t>EF</t>
    </r>
    <r>
      <rPr>
        <vertAlign val="subscript"/>
        <sz val="18"/>
        <color theme="1"/>
        <rFont val="Calibri"/>
        <family val="2"/>
        <scheme val="minor"/>
      </rPr>
      <t>CO2,y,y</t>
    </r>
  </si>
  <si>
    <t>Weighted average CO2 emission factor of fuel type i in year y (tCO2/GJ)</t>
  </si>
  <si>
    <t>Case 2: Questionnaire to determine calculation method 
[Click to add project or leakage CO2 emissions from fossil fuel combustion based on fuel type]</t>
  </si>
  <si>
    <t>Option B</t>
  </si>
  <si>
    <t>Volume</t>
  </si>
  <si>
    <t xml:space="preserve">This value will come from cell G32, G33, or G37 depending on the responses from the questionnaire </t>
  </si>
  <si>
    <t xml:space="preserve">Tool 05: Baseline, project and/or leakage emissions from electricity consumption and monitoring of electricity generation </t>
  </si>
  <si>
    <t xml:space="preserve">Questionnaire to determine calculation method </t>
  </si>
  <si>
    <t xml:space="preserve">
Tool 05 is only applicable to the following scenarios, please select the appropriate one for your project:
Scenario A: Electricity consumption from the grid
Scenario B: Electricity consumption from (an) off-grid fossil fuel fired captive power plant(s)
Scenario C: Electricity consumption from the grid and (a) fossil fuel fired captive power plant(s)</t>
  </si>
  <si>
    <t>B: Off-Grid Captive Power Plants</t>
  </si>
  <si>
    <r>
      <rPr>
        <b/>
        <sz val="12"/>
        <color rgb="FF000000"/>
        <rFont val="Calibri"/>
        <family val="2"/>
        <scheme val="minor"/>
      </rPr>
      <t xml:space="preserve">Scenario A: </t>
    </r>
    <r>
      <rPr>
        <sz val="12"/>
        <color rgb="FF000000"/>
        <rFont val="Calibri"/>
        <family val="2"/>
        <scheme val="minor"/>
      </rPr>
      <t xml:space="preserve">Electricity consumption from the grid. The electricity is purchased from the grid only, and either no captive power plant(s) is/are installed at the site of electricity consumption or, if any captive power plant exists on site, it is either not operating or it is not physically able to provide electricity to the electricity consumer. 
</t>
    </r>
    <r>
      <rPr>
        <b/>
        <sz val="12"/>
        <color rgb="FF000000"/>
        <rFont val="Calibri"/>
        <family val="2"/>
        <scheme val="minor"/>
      </rPr>
      <t xml:space="preserve">Scenario B: </t>
    </r>
    <r>
      <rPr>
        <sz val="12"/>
        <color rgb="FF000000"/>
        <rFont val="Calibri"/>
        <family val="2"/>
        <scheme val="minor"/>
      </rPr>
      <t xml:space="preserve">Electricity consumption from (an) off-grid fossil fuel fired captive power plant(s). One or more fossil fuel fired captive power plants are installed at the site of the electricity consumer and supply the consumer with electricity. The captive power plant(s) is/are not connected to the electricity grid. 
</t>
    </r>
    <r>
      <rPr>
        <b/>
        <sz val="12"/>
        <color rgb="FF000000"/>
        <rFont val="Calibri"/>
        <family val="2"/>
        <scheme val="minor"/>
      </rPr>
      <t>Scenario C:</t>
    </r>
    <r>
      <rPr>
        <sz val="12"/>
        <color rgb="FF000000"/>
        <rFont val="Calibri"/>
        <family val="2"/>
        <scheme val="minor"/>
      </rPr>
      <t xml:space="preserve"> Electricity consumption from the grid and (a) fossil fuel fired captive power plant(s). One or more fossil fuel fired captive power plants operate at the site of the electricity consumer. The captive power plant(s) can provide electricity to the electricity consumer. The captive power plant(s) is/are also connected to the electricity grid. Hence, the electricity consumer can be provided with electricity from the captive power plant(s) and the grid.</t>
    </r>
  </si>
  <si>
    <t>Generic approach</t>
  </si>
  <si>
    <r>
      <t>PE</t>
    </r>
    <r>
      <rPr>
        <vertAlign val="subscript"/>
        <sz val="18"/>
        <color theme="1"/>
        <rFont val="Calibri"/>
        <family val="2"/>
        <scheme val="minor"/>
      </rPr>
      <t>EC,y</t>
    </r>
  </si>
  <si>
    <t>Project emissions from electricity consumption in year y (t CO2 / yr)</t>
  </si>
  <si>
    <r>
      <t>EF</t>
    </r>
    <r>
      <rPr>
        <vertAlign val="subscript"/>
        <sz val="18"/>
        <color theme="1"/>
        <rFont val="Calibri"/>
        <family val="2"/>
        <scheme val="minor"/>
      </rPr>
      <t>EF,j,y</t>
    </r>
  </si>
  <si>
    <t>Project emission factor for electricity generation for source in year y (t CO2/MWh)</t>
  </si>
  <si>
    <t>This value comes from EFEL,j/k/l,y. Depending on the scenario and options chosen.</t>
  </si>
  <si>
    <r>
      <t>EC</t>
    </r>
    <r>
      <rPr>
        <vertAlign val="subscript"/>
        <sz val="18"/>
        <color theme="1"/>
        <rFont val="Calibri"/>
        <family val="2"/>
        <scheme val="minor"/>
      </rPr>
      <t>PJ,j,y</t>
    </r>
  </si>
  <si>
    <t>Quantity of electricity consumed by the project electricity consumption source in year y (MWh/yr)</t>
  </si>
  <si>
    <r>
      <t>TDL</t>
    </r>
    <r>
      <rPr>
        <vertAlign val="subscript"/>
        <sz val="18"/>
        <color theme="1"/>
        <rFont val="Calibri"/>
        <family val="2"/>
        <scheme val="minor"/>
      </rPr>
      <t>j,y</t>
    </r>
  </si>
  <si>
    <t>Average technical transmission and distribution losses for providing electricity to source for project in year y</t>
  </si>
  <si>
    <t>Sources of electricity consumption in the project</t>
  </si>
  <si>
    <r>
      <t>BE</t>
    </r>
    <r>
      <rPr>
        <vertAlign val="subscript"/>
        <sz val="18"/>
        <color theme="1"/>
        <rFont val="Calibri"/>
        <family val="2"/>
        <scheme val="minor"/>
      </rPr>
      <t>EC,y</t>
    </r>
  </si>
  <si>
    <t>Baseline emissions from electricity consumption in year y (t CO2 / yr)</t>
  </si>
  <si>
    <r>
      <t>EF</t>
    </r>
    <r>
      <rPr>
        <vertAlign val="subscript"/>
        <sz val="18"/>
        <color theme="1"/>
        <rFont val="Calibri"/>
        <family val="2"/>
        <scheme val="minor"/>
      </rPr>
      <t>EF,k,y</t>
    </r>
  </si>
  <si>
    <t>Baseline emission factor for electricity generation for source in year y (t CO2/MWh)</t>
  </si>
  <si>
    <r>
      <t>EC</t>
    </r>
    <r>
      <rPr>
        <vertAlign val="subscript"/>
        <sz val="18"/>
        <color theme="1"/>
        <rFont val="Calibri"/>
        <family val="2"/>
        <scheme val="minor"/>
      </rPr>
      <t>BL,k,y</t>
    </r>
  </si>
  <si>
    <t>Quantity of electricity that would be consumed by the baseline electricity consumer in year y (MWh/yr)</t>
  </si>
  <si>
    <r>
      <t>TDL</t>
    </r>
    <r>
      <rPr>
        <vertAlign val="subscript"/>
        <sz val="18"/>
        <color theme="1"/>
        <rFont val="Calibri"/>
        <family val="2"/>
        <scheme val="minor"/>
      </rPr>
      <t>k,y</t>
    </r>
  </si>
  <si>
    <t>Average technical transmission and distribution losses for providing electricity to source for baseline in year y</t>
  </si>
  <si>
    <t>Sources of electricity consumption in the baseline</t>
  </si>
  <si>
    <r>
      <t>LE</t>
    </r>
    <r>
      <rPr>
        <vertAlign val="subscript"/>
        <sz val="18"/>
        <color theme="1"/>
        <rFont val="Calibri"/>
        <family val="2"/>
        <scheme val="minor"/>
      </rPr>
      <t>EC,y</t>
    </r>
  </si>
  <si>
    <t>Leakage emissions from electricity consumption in year y (t CO2 / yr)</t>
  </si>
  <si>
    <r>
      <t>EF</t>
    </r>
    <r>
      <rPr>
        <vertAlign val="subscript"/>
        <sz val="18"/>
        <color theme="1"/>
        <rFont val="Calibri"/>
        <family val="2"/>
        <scheme val="minor"/>
      </rPr>
      <t>EF,l,y</t>
    </r>
  </si>
  <si>
    <t>Leakage emission factor for electricity generation for source in year y (t CO2/MWh)</t>
  </si>
  <si>
    <r>
      <t>EC</t>
    </r>
    <r>
      <rPr>
        <vertAlign val="subscript"/>
        <sz val="18"/>
        <color theme="1"/>
        <rFont val="Calibri"/>
        <family val="2"/>
        <scheme val="minor"/>
      </rPr>
      <t>LE,l,y</t>
    </r>
  </si>
  <si>
    <t>Net increase in electricity consumption of source in year y as a result of leakage (MWh/yr)</t>
  </si>
  <si>
    <r>
      <t>TDL</t>
    </r>
    <r>
      <rPr>
        <vertAlign val="subscript"/>
        <sz val="18"/>
        <color theme="1"/>
        <rFont val="Calibri"/>
        <family val="2"/>
        <scheme val="minor"/>
      </rPr>
      <t>l,y</t>
    </r>
  </si>
  <si>
    <t>Average technical transmission and distribution losses for providing electricity to source for leakage in year y</t>
  </si>
  <si>
    <t>l</t>
  </si>
  <si>
    <t>Leakage sources of electricity consumption</t>
  </si>
  <si>
    <t>Alternative approaches for project and/or leakage emissions (Only if chosen from Scenario B)</t>
  </si>
  <si>
    <r>
      <t>PE</t>
    </r>
    <r>
      <rPr>
        <vertAlign val="subscript"/>
        <sz val="18"/>
        <color theme="1"/>
        <rFont val="Calibri"/>
        <family val="2"/>
        <scheme val="minor"/>
      </rPr>
      <t>EC,j,y</t>
    </r>
  </si>
  <si>
    <t>Project emissions from electricity consumption by source(s) j in year y (t CO2 / yr)</t>
  </si>
  <si>
    <r>
      <t>LE</t>
    </r>
    <r>
      <rPr>
        <vertAlign val="subscript"/>
        <sz val="18"/>
        <color theme="1"/>
        <rFont val="Calibri"/>
        <family val="2"/>
        <scheme val="minor"/>
      </rPr>
      <t>EC,j,y</t>
    </r>
  </si>
  <si>
    <t>Leakage emissions from electricity consumption by source(s) l in year y (t CO2 / yr)</t>
  </si>
  <si>
    <r>
      <t>PP</t>
    </r>
    <r>
      <rPr>
        <vertAlign val="subscript"/>
        <sz val="18"/>
        <color theme="1"/>
        <rFont val="Calibri"/>
        <family val="2"/>
        <scheme val="minor"/>
      </rPr>
      <t>CP,j</t>
    </r>
  </si>
  <si>
    <t>Rated capacity of the captive power plant(s) that provide the project electricity consumption source(s) j with electricity (MW)</t>
  </si>
  <si>
    <t xml:space="preserve">Project electricity consumption sources that are supplied with power from captive power plant(s) installed at one site </t>
  </si>
  <si>
    <r>
      <t>PP</t>
    </r>
    <r>
      <rPr>
        <vertAlign val="subscript"/>
        <sz val="18"/>
        <color theme="1"/>
        <rFont val="Calibri"/>
        <family val="2"/>
        <scheme val="minor"/>
      </rPr>
      <t>CP,l</t>
    </r>
  </si>
  <si>
    <t>Rated capacity of the captive power plant(s) that provide the leakage electricity consumption source(s) l with electricity (MW)</t>
  </si>
  <si>
    <t xml:space="preserve">Leakage electricity consumption sources that are supplied with power from captive power plant(s) installed at one site </t>
  </si>
  <si>
    <t>Scenario A: Electricity consumption from the grid (Default Values)</t>
  </si>
  <si>
    <t>If scenario A was chosen:</t>
  </si>
  <si>
    <t>Scenario A has 2 options, please select the appropriate one for your project:
Option A1: Calculate the combined margin emission factor of the applicable electricity system, using the procedures in the latest approved version of the “Use Tool 7 to calculate the emission factor for an electricity system” (EFEL,j/k/l,y = EFgrid,CM,y). 
Option A2: Use conservative default values</t>
  </si>
  <si>
    <t>Option A2</t>
  </si>
  <si>
    <r>
      <rPr>
        <b/>
        <sz val="11"/>
        <color theme="1"/>
        <rFont val="Calibri"/>
        <family val="2"/>
        <scheme val="minor"/>
      </rPr>
      <t>"Option A2" Default Values</t>
    </r>
    <r>
      <rPr>
        <sz val="11"/>
        <color theme="1"/>
        <rFont val="Calibri"/>
        <family val="2"/>
        <scheme val="minor"/>
      </rPr>
      <t xml:space="preserve"> is the only option until Tool 07 is available </t>
    </r>
  </si>
  <si>
    <t>If Option A2:</t>
  </si>
  <si>
    <t>Choose which option applies to the Default Values for Scenario A:
2.1: Only to project and/or leakage electricity consumption sources but not to baseline electricity consumption sources
or 
2.2: Only to baseline electricity consumption sources but not to project or leakage electricity consumption sources</t>
  </si>
  <si>
    <t>Option 2.2</t>
  </si>
  <si>
    <t>If Option 2.2:</t>
  </si>
  <si>
    <t>Does hydro power plants constitute less than 50% of total grid generation in:
1) average of the five most recent years
or
2) based on long-term averages for hydroelectricity production</t>
  </si>
  <si>
    <t>If yes a value of 0.4 t CO2/MWh will be used for EFEL,j/k/l,y
If no a value of 0.25 t CO2/MWh will be used for EFEL,j/k/l,y</t>
  </si>
  <si>
    <r>
      <t>EF</t>
    </r>
    <r>
      <rPr>
        <vertAlign val="subscript"/>
        <sz val="20"/>
        <color theme="1"/>
        <rFont val="Calibri"/>
        <family val="2"/>
        <scheme val="minor"/>
      </rPr>
      <t>EL,j/k/l,y</t>
    </r>
  </si>
  <si>
    <t>Electricity consumption from the grid for project and leakage scenario calculations (CO2/MWh)</t>
  </si>
  <si>
    <t>If Option A1: Value must be derived from Tool 7
If Option A2.1: Use value of 1.3 t CO2/MWh
If Option A2.2: Use value of 0.25 t CO2/MWh (or value of 0.4 t CO2/MWh if yes to question above)</t>
  </si>
  <si>
    <t>Scenario B1: Electricity consumption from an off-grid captive power plant (Monitored Data)</t>
  </si>
  <si>
    <t>If Scenario B was chosen:</t>
  </si>
  <si>
    <t>Tool 05 provides 2 approaches to calculate project and /or leakage emissions, a generic approach or an alternative approach only if the project applies to the following:
(a) Scenario B (as described in Tool 5 Section 2.2, paragraph 5) applies to an electricity consumer
(b) The electricity consumer is a project or leakage source.
Please select if your project follows these and which approach you would like to use:</t>
  </si>
  <si>
    <t>No: Generic Approach</t>
  </si>
  <si>
    <t>If No: Generic Approach, use Generic Approach section using values from Scenario B
If Yes: Alternative Approach, use Alternative Approach section</t>
  </si>
  <si>
    <t>If "No: Generic Approach" was chosen:</t>
  </si>
  <si>
    <t>Please select which approach you would like to use for your Scenario B project calculations:</t>
  </si>
  <si>
    <t>Monitored Data</t>
  </si>
  <si>
    <t>If "Monitored Data" then continue to next question below
If "Default Values" then move to first question of Scenario B2 (Default Values)</t>
  </si>
  <si>
    <t>If "Monitored Data" was chosen:</t>
  </si>
  <si>
    <t>Choose which option applies to the monitored data:
A: Case where none of the captive power plants is a cogeneration plant or where the heat generation is ignored
or 
B: Case where the CO2 emission factor for electricity generation is calculated by allocating the fuel consumption between electricity and heat generation</t>
  </si>
  <si>
    <t>Heat Generation ignored</t>
  </si>
  <si>
    <t>If "Heat Generation Ignored" then use bottom EF "Heat Generation Ignored" values for Generic Approach
If "Fuel Consumption" then use bottom EF "Fuel Consumption" values for Generic Approach</t>
  </si>
  <si>
    <t>Emission factor for electricity generation for source j, k or l in year y (where the heatgeneration is ignored (t CO2/MWh)</t>
  </si>
  <si>
    <t>Sum of all "Heat generation ignored" values from Power Plants Sheet</t>
  </si>
  <si>
    <t>Emission factor for electricity generation for source j, k or l in year y (fuel consumption between electricity and heat generation) (t CO2/MWh)</t>
  </si>
  <si>
    <t>Sum of all "Fuel consumption between electricity and heat generation" values from Power Plants Sheet</t>
  </si>
  <si>
    <t>Scenario B2:  Electricity consumption from an off-grid captive power plant (Conservative Default Values)</t>
  </si>
  <si>
    <t>If "Default Values" was chosen:</t>
  </si>
  <si>
    <t>Choose which option applies to the Default Values for Scenario B:
A: Only to project and/or leakage electricity consumption sources but not to baseline electricity consumption sources
or 
B: Only to baseline electricity consumption sources but not to project or leakage electricity consumption sources</t>
  </si>
  <si>
    <t>Answer to this choice will determine which value below will be used</t>
  </si>
  <si>
    <t>Use this value if Option A was chosen</t>
  </si>
  <si>
    <t>Electricity consumption from the grid for baseline scenario calculations (CO2/MWh)</t>
  </si>
  <si>
    <t>Use this value if Option B was chosen</t>
  </si>
  <si>
    <t xml:space="preserve">Scenario C:  Electricity consumption from the grid and (a) fossil fuel fired captive power plant(s) </t>
  </si>
  <si>
    <r>
      <t xml:space="preserve">Under Scanario C the consumption of electricity in the project, the baseline or as a source of leakage may result in different emission levels, depending on the situation of the project activity. 
The following three cases can be differentiated, please select the appropriate option for your project: 
</t>
    </r>
    <r>
      <rPr>
        <b/>
        <u/>
        <sz val="11"/>
        <color theme="1"/>
        <rFont val="Calibri"/>
        <family val="2"/>
        <scheme val="minor"/>
      </rPr>
      <t xml:space="preserve">Case 1: </t>
    </r>
    <r>
      <rPr>
        <sz val="11"/>
        <color theme="1"/>
        <rFont val="Calibri"/>
        <family val="2"/>
        <scheme val="minor"/>
      </rPr>
      <t xml:space="preserve">Grid electricity. The implementation of the project activity only affects the quantity of electricity that is supplied from the grid and not the operation of the captive power plant. 
</t>
    </r>
    <r>
      <rPr>
        <b/>
        <u/>
        <sz val="11"/>
        <color theme="1"/>
        <rFont val="Calibri"/>
        <family val="2"/>
        <scheme val="minor"/>
      </rPr>
      <t>Case 2:</t>
    </r>
    <r>
      <rPr>
        <sz val="11"/>
        <color theme="1"/>
        <rFont val="Calibri"/>
        <family val="2"/>
        <scheme val="minor"/>
      </rPr>
      <t xml:space="preserve"> Electricity from captive power plant(s). The implementation of the project activity is clearly demonstrated to only affect the quantity of electricity that is generated in the captive power plant(s) and does not affect the quantity of electricity supplied from the grid. 
</t>
    </r>
    <r>
      <rPr>
        <b/>
        <u/>
        <sz val="11"/>
        <color theme="1"/>
        <rFont val="Calibri"/>
        <family val="2"/>
        <scheme val="minor"/>
      </rPr>
      <t>Case 3:</t>
    </r>
    <r>
      <rPr>
        <sz val="11"/>
        <color theme="1"/>
        <rFont val="Calibri"/>
        <family val="2"/>
        <scheme val="minor"/>
      </rPr>
      <t xml:space="preserve"> Electricity from both the grid and captive power plant(s). The implementation of the project activity may affect both the quantity of electricity that is generated in the captive power plant(s) and the quantity of electricity supplied from the grid.</t>
    </r>
  </si>
  <si>
    <t>If/Then</t>
  </si>
  <si>
    <t>If Case 1 was chosen:</t>
  </si>
  <si>
    <t>Redirect to Scenario A</t>
  </si>
  <si>
    <t>If Case 2 was chosen:</t>
  </si>
  <si>
    <t>Redirect to Scenario B</t>
  </si>
  <si>
    <t>If Case 3 was chosen:</t>
  </si>
  <si>
    <t>Redirect to Scenario A &amp; B</t>
  </si>
  <si>
    <t xml:space="preserve">If case 3 was chosen, this means that the more conservative value should be chosen between 
a) the result of applying either option A1 or A2 
and 
b) the result of applying either option B1 or B2. </t>
  </si>
  <si>
    <t>Sum of all Added Power Plants Emission Factor</t>
  </si>
  <si>
    <t>Auto-calculate</t>
  </si>
  <si>
    <t>Emission factor for electricity generation for source j, k or l in year y (where the heat generation is ignored (t CO2/MWh)</t>
  </si>
  <si>
    <t>Sum of each Emission Factor (Heat generation ignored)</t>
  </si>
  <si>
    <t>Sum of each Emission Factor (Fuel consumption between electricity and heat generation)</t>
  </si>
  <si>
    <t>[Click to Add Fossil Fuel Captive Power Plant]</t>
  </si>
  <si>
    <t xml:space="preserve">Plant Name </t>
  </si>
  <si>
    <t>Plant 1</t>
  </si>
  <si>
    <t>Select one</t>
  </si>
  <si>
    <t>Type of fossil fuel used</t>
  </si>
  <si>
    <t>Crude Oil</t>
  </si>
  <si>
    <r>
      <rPr>
        <sz val="18"/>
        <color rgb="FF000000"/>
        <rFont val="Calibri"/>
        <family val="2"/>
      </rPr>
      <t>NCV</t>
    </r>
    <r>
      <rPr>
        <vertAlign val="subscript"/>
        <sz val="18"/>
        <color rgb="FF000000"/>
        <rFont val="Calibri"/>
        <family val="2"/>
      </rPr>
      <t>i,t</t>
    </r>
  </si>
  <si>
    <t>Average net calorific value of the fossil fuel type used in the period t (GJ / mass or volume unit)</t>
  </si>
  <si>
    <t xml:space="preserve">Will auto-populate value from Default Values sheet dependent on Type of Fossil Fuel Used </t>
  </si>
  <si>
    <r>
      <t>EF</t>
    </r>
    <r>
      <rPr>
        <vertAlign val="subscript"/>
        <sz val="18"/>
        <color rgb="FF000000"/>
        <rFont val="Calibri"/>
        <family val="2"/>
      </rPr>
      <t>CO2,i,t</t>
    </r>
  </si>
  <si>
    <t>Average CO2 emission factor of the fossil fuel type used in the period t (t CO2 / GJ)</t>
  </si>
  <si>
    <t xml:space="preserve">Will auto-populate converted value from Default Values sheet dependent on Type of Fossil Fuel Used </t>
  </si>
  <si>
    <r>
      <t>FC</t>
    </r>
    <r>
      <rPr>
        <vertAlign val="subscript"/>
        <sz val="18"/>
        <color rgb="FF000000"/>
        <rFont val="Calibri"/>
        <family val="2"/>
      </rPr>
      <t>n,i,t</t>
    </r>
  </si>
  <si>
    <t>Quantity of fossil fuel fired in the captive power plant in the time period described in the project details (cubric meters, metric ton, or liters)</t>
  </si>
  <si>
    <r>
      <t>EG</t>
    </r>
    <r>
      <rPr>
        <vertAlign val="subscript"/>
        <sz val="18"/>
        <color rgb="FF000000"/>
        <rFont val="Calibri"/>
        <family val="2"/>
      </rPr>
      <t>n,t</t>
    </r>
  </si>
  <si>
    <t>Quantity of electricity generated in captive the power plant in the time period decribed in the projet details (MWh)</t>
  </si>
  <si>
    <r>
      <t>HG</t>
    </r>
    <r>
      <rPr>
        <vertAlign val="subscript"/>
        <sz val="18"/>
        <color rgb="FF000000"/>
        <rFont val="Calibri"/>
        <family val="2"/>
      </rPr>
      <t>n,t</t>
    </r>
  </si>
  <si>
    <t>Quantity of heat co-generated in captive power plant n in the time period t (GJ). (Only applicable if the CO2 emission factor for electricity generation is calculated by allocating the fuel consumption between electricity and heat generation)</t>
  </si>
  <si>
    <r>
      <t>η</t>
    </r>
    <r>
      <rPr>
        <vertAlign val="subscript"/>
        <sz val="18"/>
        <color theme="1"/>
        <rFont val="Calibri"/>
        <family val="2"/>
        <scheme val="minor"/>
      </rPr>
      <t>boiler,y</t>
    </r>
  </si>
  <si>
    <t>Efficiency of the boiler in which heat is assumed to be generated in the absence of a cogeneration plant in project/leakage scenario</t>
  </si>
  <si>
    <t>Default Values (will not change)</t>
  </si>
  <si>
    <t>Efficiency of the boiler in which heat is assumed to be generated in the absence of a cogeneration plant in baseline scenario</t>
  </si>
  <si>
    <t>Plant 2</t>
  </si>
  <si>
    <t>Gas/Diesel Oil</t>
  </si>
  <si>
    <t>Plant 3</t>
  </si>
  <si>
    <t>Natural Gas</t>
  </si>
  <si>
    <t xml:space="preserve">IPCC Default Values </t>
  </si>
  <si>
    <t xml:space="preserve">Fuel Type </t>
  </si>
  <si>
    <t>"NCV" Net Calorific Value (TJ/Gg)</t>
  </si>
  <si>
    <t>"EFCO2" Effective Default CO2 Emission Factors for Combustion (kg/TJ)</t>
  </si>
  <si>
    <t>Orimulsion</t>
  </si>
  <si>
    <t>Natural Gas Liquids</t>
  </si>
  <si>
    <t>Motor Gasoline</t>
  </si>
  <si>
    <t>Aviation Gasoline</t>
  </si>
  <si>
    <t>Jet Gasoline</t>
  </si>
  <si>
    <t>Jet Kerosene</t>
  </si>
  <si>
    <t>Other Kerosene</t>
  </si>
  <si>
    <t>Shale Oil</t>
  </si>
  <si>
    <t>Residual Fuel Oil</t>
  </si>
  <si>
    <t>Liquefied Petroleum Gases</t>
  </si>
  <si>
    <t>Ethane</t>
  </si>
  <si>
    <t>Naphtha</t>
  </si>
  <si>
    <t>Bitumen</t>
  </si>
  <si>
    <t>Lubricants</t>
  </si>
  <si>
    <t>Petroleum Coke</t>
  </si>
  <si>
    <t>Refinery Feedstocks</t>
  </si>
  <si>
    <t>Refinery Gas</t>
  </si>
  <si>
    <t>Paraffin Waxes</t>
  </si>
  <si>
    <t>White Spirit &amp; SBP</t>
  </si>
  <si>
    <t>Other Petroleum Products</t>
  </si>
  <si>
    <t>Anthracite</t>
  </si>
  <si>
    <t>Coking Coal</t>
  </si>
  <si>
    <t>Other Bituminous Coal</t>
  </si>
  <si>
    <t>Sub-Bituminous Coal</t>
  </si>
  <si>
    <t>Lignite</t>
  </si>
  <si>
    <t>Oil Shale and Tar Sands</t>
  </si>
  <si>
    <t>Brown Coal Briquettes</t>
  </si>
  <si>
    <t>Patent Fuel</t>
  </si>
  <si>
    <t>Coke oven coke and lignite Coke</t>
  </si>
  <si>
    <t>Gas Coke</t>
  </si>
  <si>
    <t>Coal Tar</t>
  </si>
  <si>
    <t>Gas Works Gas</t>
  </si>
  <si>
    <t>Coke Oven Gas</t>
  </si>
  <si>
    <t xml:space="preserve">Blast Furnace Gas </t>
  </si>
  <si>
    <t>Oxygen Steel Furnace Gas</t>
  </si>
  <si>
    <t>Municipal Wastes (non-biomass fraction)</t>
  </si>
  <si>
    <t>Waste Oil</t>
  </si>
  <si>
    <t>Peat</t>
  </si>
  <si>
    <t>Wood/Wood Waste</t>
  </si>
  <si>
    <t>Sulphite lyes (black liquor)</t>
  </si>
  <si>
    <t>Other Primary Solid Biomass</t>
  </si>
  <si>
    <t>Charcoal</t>
  </si>
  <si>
    <t>Biogasoline</t>
  </si>
  <si>
    <t>Biodiesels</t>
  </si>
  <si>
    <t>Other Liquid Biofuels</t>
  </si>
  <si>
    <t>Landfill Gas</t>
  </si>
  <si>
    <t>Sludge Gas</t>
  </si>
  <si>
    <t>Other Biogas</t>
  </si>
  <si>
    <t>Municipal Wastes (biomass fraction)</t>
  </si>
  <si>
    <t>Industrial Wastes</t>
  </si>
  <si>
    <t>Applicability</t>
  </si>
  <si>
    <t>Please select yes if the flaring of flammable greenhouse gases follows this statement: Methane is the component with the highest concentration in the flammable residual gas; and  the source of the residual gas is coal mine methane or a gas from a biogenic source (e.g. biogas, landfill gas or wastewater treatment gas).</t>
  </si>
  <si>
    <t xml:space="preserve">The PP can select Yes or No. If no is selected then they should get a message saying "This tool is not applicable for your project." </t>
  </si>
  <si>
    <t>Constants used in equations</t>
  </si>
  <si>
    <t>MMCH4</t>
  </si>
  <si>
    <t>Molecular mass of methane</t>
  </si>
  <si>
    <t>MMCO</t>
  </si>
  <si>
    <t>Molecular mass of carbon monoxide</t>
  </si>
  <si>
    <t>MMCO2</t>
  </si>
  <si>
    <t>Molecular mass of carbon dioxide</t>
  </si>
  <si>
    <t>MMO2</t>
  </si>
  <si>
    <t>Molecular mass of oxygen</t>
  </si>
  <si>
    <t>MMH2</t>
  </si>
  <si>
    <t>Molecular mass of hydrogen</t>
  </si>
  <si>
    <t>MMN2</t>
  </si>
  <si>
    <t>Molecular mass of nitrogen</t>
  </si>
  <si>
    <t>AMc</t>
  </si>
  <si>
    <t>Atomic mass of carbon</t>
  </si>
  <si>
    <t>AMh</t>
  </si>
  <si>
    <t>Atomic mass of hydrogen</t>
  </si>
  <si>
    <t>AMo</t>
  </si>
  <si>
    <t>Atomic mass of oxygen</t>
  </si>
  <si>
    <t>AMn</t>
  </si>
  <si>
    <t>Atomic mass of nitrogen</t>
  </si>
  <si>
    <t>Pn</t>
  </si>
  <si>
    <t>Atmospheric pressure at normal conditions</t>
  </si>
  <si>
    <t>Ru</t>
  </si>
  <si>
    <t>Universal ideal gas constant</t>
  </si>
  <si>
    <t>Tn</t>
  </si>
  <si>
    <t>Temperature at normal conditions</t>
  </si>
  <si>
    <t>MFO2</t>
  </si>
  <si>
    <t>O2 volumetric fraction of air</t>
  </si>
  <si>
    <t>GWPCH4</t>
  </si>
  <si>
    <t>Global warming potential of methane</t>
  </si>
  <si>
    <t>MVn</t>
  </si>
  <si>
    <t>Volume of one mole of any ideal gas at normal temperature and pressure</t>
  </si>
  <si>
    <t>ρ CH4, n</t>
  </si>
  <si>
    <t>Density of methane gas at normal conditions</t>
  </si>
  <si>
    <t>NAi,j</t>
  </si>
  <si>
    <t>Number of atoms of element j in component i, depending on molecular structure</t>
  </si>
  <si>
    <t>-</t>
  </si>
  <si>
    <t>NA C,CH4</t>
  </si>
  <si>
    <t>Number of atoms of element C in component CH4</t>
  </si>
  <si>
    <t>NA C,CO</t>
  </si>
  <si>
    <t>Number of atoms of element C in component CO</t>
  </si>
  <si>
    <t>NA C,CO2</t>
  </si>
  <si>
    <t>Number of atoms of element C in component CO2</t>
  </si>
  <si>
    <t>NA H,CH4</t>
  </si>
  <si>
    <t>Number of atoms of element H in component CH4</t>
  </si>
  <si>
    <t>NA H,H2</t>
  </si>
  <si>
    <t>Number of atoms of element H in component H2</t>
  </si>
  <si>
    <t>NA O,CO</t>
  </si>
  <si>
    <t>Number of atoms of element O in component CO</t>
  </si>
  <si>
    <t>NA O,CO2</t>
  </si>
  <si>
    <t>Number of atoms of element O in component CO2</t>
  </si>
  <si>
    <t>NA O,O2</t>
  </si>
  <si>
    <t>Number of atoms of element O in component O2</t>
  </si>
  <si>
    <t>NA N,N2</t>
  </si>
  <si>
    <t>Number of atoms of element N in component N2</t>
  </si>
  <si>
    <t>Input Data</t>
  </si>
  <si>
    <t>vi,RG,m,CH4</t>
  </si>
  <si>
    <t xml:space="preserve">Volumetric fraction of CH4 in residual gas </t>
  </si>
  <si>
    <t>vi,RG,m,CO</t>
  </si>
  <si>
    <t xml:space="preserve">Volumetric fraction of CO in residual gas </t>
  </si>
  <si>
    <t>vi,RG,m,CO2</t>
  </si>
  <si>
    <t xml:space="preserve">Volumetric fraction of CO2 in residual gas </t>
  </si>
  <si>
    <t>vi,RG,m,O2</t>
  </si>
  <si>
    <t xml:space="preserve">Volumetric fraction of O2 in residual gas </t>
  </si>
  <si>
    <t>vi,RG,m,H2</t>
  </si>
  <si>
    <t xml:space="preserve">Volumetric fraction of H2 in residual gas </t>
  </si>
  <si>
    <t>vi,RG,m,N2</t>
  </si>
  <si>
    <t xml:space="preserve">Volumetric fraction of N2 in residual gas </t>
  </si>
  <si>
    <t>VRG,m</t>
  </si>
  <si>
    <t>Volumetric flow of residual gas at normal conditions</t>
  </si>
  <si>
    <t>vO2,EG,m</t>
  </si>
  <si>
    <t>O2 volumetric fraction of flare exhaust gas</t>
  </si>
  <si>
    <t>fcCH4,EG,m</t>
  </si>
  <si>
    <t>Methane volumetric fraction or concentration of flare exhaust gas</t>
  </si>
  <si>
    <t>FOP</t>
  </si>
  <si>
    <t>Flare operational hours in the year</t>
  </si>
  <si>
    <t>Determination of the methane mass flow in the residual gas</t>
  </si>
  <si>
    <t>MRG,m</t>
  </si>
  <si>
    <t>Mass flow of the residual gas on a dry basis at reference conditions in the minute m (kg)</t>
  </si>
  <si>
    <t>PRG,ref,m</t>
  </si>
  <si>
    <t>Density of the residual gas at reference conditions in the minute m (kg/m3 )</t>
  </si>
  <si>
    <t xml:space="preserve">VRG,m </t>
  </si>
  <si>
    <t>Volumetric flow of the residual gas on a dry basis at reference conditions in the minute m (m3 )</t>
  </si>
  <si>
    <t>Pref</t>
  </si>
  <si>
    <t>Atmospheric pressure at reference conditions (Pa)</t>
  </si>
  <si>
    <t xml:space="preserve">MMRG,m </t>
  </si>
  <si>
    <t>Molecular mass of the residual gas in the minute m (kg/kmol)</t>
  </si>
  <si>
    <t>Determination of methane mass flow rate in the residual gas on a dry basis</t>
  </si>
  <si>
    <t>Fi,t</t>
  </si>
  <si>
    <t>Mass flow of greenhouse gas I in the gaseous stream in time interval t (kg gas/h)</t>
  </si>
  <si>
    <t>Determination of flare efficiency</t>
  </si>
  <si>
    <t>nflare,calc,m</t>
  </si>
  <si>
    <t>Flare efficiency in the minute m (Percent)</t>
  </si>
  <si>
    <t>Determination of methane mass flow rate in the exhaust gas on a dry basis of flare efficiency</t>
  </si>
  <si>
    <t>FCH4,EG,m</t>
  </si>
  <si>
    <t>Mass flow of methane in the exhaust gas of the flare on a dry basis at reference conditions in the minute m (kg)</t>
  </si>
  <si>
    <t>Determination of the volumetric flow rate of the exhaust gas</t>
  </si>
  <si>
    <t>VEG,m</t>
  </si>
  <si>
    <t>Volumetric flow of the exhaust gas on a dry basis at reference conditions in the minute m (m3 )</t>
  </si>
  <si>
    <t xml:space="preserve">QEG,m </t>
  </si>
  <si>
    <t>Volume of the exhaust gas on a dry basis per kg of residual gas on a dry basis at reference conditions in the minute m (m3 /kg residual gas)</t>
  </si>
  <si>
    <t>QO2,EG,m</t>
  </si>
  <si>
    <t>O2 volume in the exhaust gas per kg of residual gas on a dry basis at reference conditions in the minute m (m3 /kg residual gas)</t>
  </si>
  <si>
    <t xml:space="preserve">QN2,EG,m </t>
  </si>
  <si>
    <t>N2 (volume) in the exhaust gas per kg of residual gas on a dry basis at reference conditions in the minute m (m3 /kg residual gas)</t>
  </si>
  <si>
    <t>QCO2,EG,m</t>
  </si>
  <si>
    <t>CO2 volume in the exhaust gas per kg of residual gas on a dry basis at reference conditions in the minute m (m3 /kg residual gas)</t>
  </si>
  <si>
    <t xml:space="preserve">NO2,EG,m </t>
  </si>
  <si>
    <t>O2 (moles) in the exhaust gas per kg of residual gas flared on a dry basis at reference conditions in the minute m (kmol/kg residual gas)</t>
  </si>
  <si>
    <t>FO2,RG,m</t>
  </si>
  <si>
    <t>Stochiometric quantity of moles of O2 required for a complete oxidation of one kg residual gas in the minute m (kmol/kg residual gas)</t>
  </si>
  <si>
    <t xml:space="preserve">Determination of the mass fraction of carbon, hydrogen, oxygen and nitrogen in the residual gas </t>
  </si>
  <si>
    <t xml:space="preserve">MFC,RG,m </t>
  </si>
  <si>
    <t>Mass fraction of element carbon in the residual gas in the minute m</t>
  </si>
  <si>
    <t>MFH2,RG,m</t>
  </si>
  <si>
    <t>Mass fraction of element hydrogen in the residual gas in the minute m</t>
  </si>
  <si>
    <t>MFO2,RG,m</t>
  </si>
  <si>
    <t>Mass fraction of element oxygen in the residual gas in the minute m</t>
  </si>
  <si>
    <t xml:space="preserve">MFN2,RG,m </t>
  </si>
  <si>
    <t>Mass fraction of element nitrogen in the residual gas in the minute m</t>
  </si>
  <si>
    <t>Calculation of project yearly emissions from flaring</t>
  </si>
  <si>
    <t xml:space="preserve">PEflare,y </t>
  </si>
  <si>
    <t>Project emissions from flaring of the residual gas in year y (tCO2e)</t>
  </si>
  <si>
    <t xml:space="preserve">TOOL 02: Combined tool to identify the baseline scenario and demonstrate additionality </t>
  </si>
  <si>
    <t>no</t>
  </si>
  <si>
    <t xml:space="preserve">if/then </t>
  </si>
  <si>
    <t xml:space="preserve">Step 0 : First-of-its-kind project activities </t>
  </si>
  <si>
    <t xml:space="preserve">Is the proposed project activity the first-of-its-kind? </t>
  </si>
  <si>
    <t>If Yes: Move to Step 1A in Case 2
If No: Move to Step 1A in Case 1</t>
  </si>
  <si>
    <t>yes</t>
  </si>
  <si>
    <t>string</t>
  </si>
  <si>
    <t>Provide evidence to justify answer.</t>
  </si>
  <si>
    <t>(Explanation/proof)</t>
  </si>
  <si>
    <t>Follow up to previous question.</t>
  </si>
  <si>
    <r>
      <rPr>
        <b/>
        <sz val="16"/>
        <color rgb="FF000000"/>
        <rFont val="Calibri"/>
        <family val="2"/>
      </rPr>
      <t xml:space="preserve">Case 1: If Project is </t>
    </r>
    <r>
      <rPr>
        <b/>
        <i/>
        <u/>
        <sz val="16"/>
        <color rgb="FF000000"/>
        <rFont val="Calibri"/>
        <family val="2"/>
      </rPr>
      <t>not</t>
    </r>
    <r>
      <rPr>
        <b/>
        <sz val="16"/>
        <color rgb="FF000000"/>
        <rFont val="Calibri"/>
        <family val="2"/>
      </rPr>
      <t xml:space="preserve"> a first-of-its-kind. </t>
    </r>
  </si>
  <si>
    <t>Step 1A: Define alternative scenarios</t>
  </si>
  <si>
    <t>Have realistic and credible alternative scenario(s) to the project activity been identified?</t>
  </si>
  <si>
    <t>If Yes proceed to Step 1B
If No: Can't proceed</t>
  </si>
  <si>
    <t>(List of plausible alternative scenarios to the project activity + explanation)</t>
  </si>
  <si>
    <t>Step 1B: Consistency with regulations</t>
  </si>
  <si>
    <t xml:space="preserve">Are all the alternative scenario(s) in compliance with mandatory legislation and regulations (taking into account the enforcement in the region or country and EB decisions on national and/or sectoral policies and regulations)? </t>
  </si>
  <si>
    <t>If Yes: Move to Step 2A (Barrier analysis)
If No: Move to Step 1C</t>
  </si>
  <si>
    <t>(List of alternative scenarios to the project activity that follow mandatory legislation and regulations + explanation.)</t>
  </si>
  <si>
    <t>Step 1C: Consistency with regulations</t>
  </si>
  <si>
    <t>Is project without CDM the only alternative remaining?</t>
  </si>
  <si>
    <t>If Yes: Project activity is not additional.
If No: Move to Step 2A (Barrier analysis)</t>
  </si>
  <si>
    <t>Follow up to previous question. (If the above-mentioned list contains only one scenario, than the proposed project activity is not additional)</t>
  </si>
  <si>
    <t>Step 2A: Barrier analysis (Identify)</t>
  </si>
  <si>
    <t xml:space="preserve">Is there at least one or more realistic and credible barrier preventing the implementation of the proposed project activity without the CDM? </t>
  </si>
  <si>
    <t>If Yes proceed to Step 2B
If No: Can't proceed</t>
  </si>
  <si>
    <t>(List of barriers that may prevent one or more alternative scenarios to occur + explanation.)</t>
  </si>
  <si>
    <t>Step 2B: Barrier analysis (Eliminate)</t>
  </si>
  <si>
    <t>Is at least one alternative scenario, other than proposed CDM project activity, not prevented by any of the identified barriers?</t>
  </si>
  <si>
    <t>If Yes: Proceed to Step 3A (Investment Analysis)
If No: Proceed to Step 3B (No Investment Analysis)</t>
  </si>
  <si>
    <t>(List of alternative scenarios to the project activity that are not prevented by any barrier + explanation.)</t>
  </si>
  <si>
    <t>Step 3A: Investment analysis</t>
  </si>
  <si>
    <t xml:space="preserve">Can the service or product only be provided by the project proponent? </t>
  </si>
  <si>
    <t>If Yes: Move to Cell C17
If No: Move to Cell C19</t>
  </si>
  <si>
    <t>If yes to Step 3A:</t>
  </si>
  <si>
    <t>Investment comparison or simple cost anlysis must be chosen, is the sensitivity analysis conclusive to confirm the result of the investment comparison analysis or simple cost analysis?</t>
  </si>
  <si>
    <t xml:space="preserve">If Yes: Proceed to Step 4A. (The most economically or financially attractive alternative scenario is considered as the baseline scenario) 
If No: Proceed to Step 4A. (The alternative scenario to the project activity with least emissions among the alternative scenarios is considered as the baseline scenario)
</t>
  </si>
  <si>
    <t>If no to Step 3A:</t>
  </si>
  <si>
    <t>Benchmark anlysis must be chosen, is the sensitivity analysis conclusive?</t>
  </si>
  <si>
    <t>If Yes: Proceed to Step 4A. (The baseline emission is the emission benchmark, or the emission of the most attractive alternative if required in methodology.) 
If No: Project activity is not additional</t>
  </si>
  <si>
    <t>Step 3B: No Investment analysis</t>
  </si>
  <si>
    <t>If Yes: Proceed to Step 4A (The baseline scenario is the least emissions scenario*)
If No: Proceed to Step 4A (The baseline emission is the emission benchmark*)</t>
  </si>
  <si>
    <t>Step 4A: Emission Level</t>
  </si>
  <si>
    <t>Is emission level of the baseline scenario higher than that of the proposed project activity?</t>
  </si>
  <si>
    <t>If Yes: Proceed to Step 4B
If No: Project activity is not additional.</t>
  </si>
  <si>
    <t xml:space="preserve">Step 4B: Common practice analysis </t>
  </si>
  <si>
    <t>Is the project common practice?</t>
  </si>
  <si>
    <t>If Yes: Project activity is not additional.
If No: Project activity is additional.</t>
  </si>
  <si>
    <r>
      <rPr>
        <b/>
        <sz val="16"/>
        <color rgb="FF000000"/>
        <rFont val="Calibri"/>
        <family val="2"/>
      </rPr>
      <t xml:space="preserve">Flowchart: (Case 1) If Project is </t>
    </r>
    <r>
      <rPr>
        <b/>
        <i/>
        <u/>
        <sz val="16"/>
        <color rgb="FF000000"/>
        <rFont val="Calibri"/>
        <family val="2"/>
      </rPr>
      <t>not</t>
    </r>
    <r>
      <rPr>
        <b/>
        <sz val="16"/>
        <color rgb="FF000000"/>
        <rFont val="Calibri"/>
        <family val="2"/>
      </rPr>
      <t xml:space="preserve"> a first-of-its-kind. </t>
    </r>
  </si>
  <si>
    <r>
      <rPr>
        <b/>
        <sz val="16"/>
        <color rgb="FF000000"/>
        <rFont val="Calibri"/>
        <family val="2"/>
      </rPr>
      <t xml:space="preserve">Case 2: If Project </t>
    </r>
    <r>
      <rPr>
        <b/>
        <i/>
        <u/>
        <sz val="16"/>
        <color rgb="FF000000"/>
        <rFont val="Calibri"/>
        <family val="2"/>
      </rPr>
      <t>is</t>
    </r>
    <r>
      <rPr>
        <b/>
        <sz val="16"/>
        <color rgb="FF000000"/>
        <rFont val="Calibri"/>
        <family val="2"/>
      </rPr>
      <t xml:space="preserve"> a first-of-its-kind. </t>
    </r>
  </si>
  <si>
    <t>If Yes proceed to Step 1A
If No: Can't proceed</t>
  </si>
  <si>
    <t>If Yes: Proceed to Step 3A (Investment Analysis) or Step 3B (No Investment Analysis)
If No: Proceed to Step 3B (No Investment Analysis)</t>
  </si>
  <si>
    <t>If Yes: Move to Cell C75
If No: Move to Cell C77</t>
  </si>
  <si>
    <t>- If yes to Step 3A:</t>
  </si>
  <si>
    <t xml:space="preserve">If Yes: Proceed to Step 4 (The most economically or financially attractive alternative scenario is considered as the baseline scenario) 
If No: Proceed to Step 4 (The alternative scenario to the project activity with least emissions among the alternative scenarios is considered as the baseline scenario)
</t>
  </si>
  <si>
    <t>- If no to Step 3A:</t>
  </si>
  <si>
    <t>If Yes: Proceed to Step 4 (The baseline emission is the emission benchmark, or the emission of the most attractive alternative if required in methodology.) 
If No: Proceed to Step 4 (The baseline emission is the emission benchmark.)</t>
  </si>
  <si>
    <t>If Yes: Proceed to Step 4 (The baseline scenario is the least emissions scenario*)
If No: Proceed to Step 4 (The baseline emission is the emission benchmark*)</t>
  </si>
  <si>
    <t>Step 4: Emission Level</t>
  </si>
  <si>
    <t>If Yes: Project activity is additional.
If No: Project activity is not additional.</t>
  </si>
  <si>
    <r>
      <rPr>
        <b/>
        <sz val="16"/>
        <color rgb="FF000000"/>
        <rFont val="Calibri"/>
        <family val="2"/>
      </rPr>
      <t xml:space="preserve">Flowchart: (Case 2) If Project </t>
    </r>
    <r>
      <rPr>
        <b/>
        <i/>
        <u/>
        <sz val="16"/>
        <color rgb="FF000000"/>
        <rFont val="Calibri"/>
        <family val="2"/>
      </rPr>
      <t>is</t>
    </r>
    <r>
      <rPr>
        <b/>
        <sz val="16"/>
        <color rgb="FF000000"/>
        <rFont val="Calibri"/>
        <family val="2"/>
      </rPr>
      <t xml:space="preserve"> a first-of-its-kind. </t>
    </r>
  </si>
  <si>
    <t>Required</t>
  </si>
  <si>
    <t xml:space="preserve">Questionnaire </t>
  </si>
  <si>
    <t xml:space="preserve">To which emission category is the tool being applied? </t>
  </si>
  <si>
    <t>Baseline Emissions (BE)</t>
  </si>
  <si>
    <t xml:space="preserve">Will the project be implementing Application A or Application B? </t>
  </si>
  <si>
    <t>Application B</t>
  </si>
  <si>
    <t xml:space="preserve">Application A: The CDM project activity mitigates methane emissions from a specific existing SWDS. Methane emissions are mitigated by capturing and flaring or combusting the methane (e.g. “ACM0001: Flaring or use of landfill gas”). The methane is generated from waste disposed in the past, including prior to the start of the CDM project activity. In these cases, the tool is only applied for an ex ante estimation of emissions in the project design document (CDM-PDD). The emissions will then be monitored during the crediting period using the applicable approaches in the relevant methodologies (e.g. measuring the amount of methane captured from the SWDS). 
Application B: The CDM project activity avoids or involves the disposal of waste at a SWDS. An example of this application of the tool is ACM0022, in which municipal solid waste (MSW) is treated with an alternative option, such as composting or anaerobic digestion, and is then prevented from being disposed of in a SWDS. The methane is generated from waste disposed or avoided from disposal during the crediting period. In these cases, the tool can be applied for both ex ante and ex post estimation of emissions. These project activities may apply the simplified approach detailed in 0 when calculating baseline emissions. </t>
  </si>
  <si>
    <t xml:space="preserve">Is methane captured (e.g. due to safety regulations) and flared, combusted or used in another manner that prevents emissions of methane to the atmosphere? </t>
  </si>
  <si>
    <t xml:space="preserve">Is the tool being applied to MSW? </t>
  </si>
  <si>
    <t xml:space="preserve">Is the tool being applied to residual waste? </t>
  </si>
  <si>
    <t>For the baseline model correction factor (parameter φy), will you use a default value (option 1) or a project specific value estimated yearly (option 2)?</t>
  </si>
  <si>
    <t>Option 1 (Default)</t>
  </si>
  <si>
    <t>Please indicate the climate conditions of the SWDS</t>
  </si>
  <si>
    <t>Humid/wet conditions</t>
  </si>
  <si>
    <t>Please indicate the climate type of the SWDS</t>
  </si>
  <si>
    <t>Tropical</t>
  </si>
  <si>
    <t xml:space="preserve">Is the solid waste weighed using accurate weighbridges or estimated, such as from the depth and surface area of
an existing SWDS? </t>
  </si>
  <si>
    <t>Estimated</t>
  </si>
  <si>
    <t>Is more than 50 percent of the waste rapidly degradable organic material?</t>
  </si>
  <si>
    <t xml:space="preserve">Is the SWDS is located in a tropical climate? </t>
  </si>
  <si>
    <t xml:space="preserve">Is the SWDS managed or unmanaged? </t>
  </si>
  <si>
    <t>Managed</t>
  </si>
  <si>
    <t xml:space="preserve">Is residual waste is disposed at the SWDS? </t>
  </si>
  <si>
    <t xml:space="preserve">Were the SWDS compartments where the project is implemented closed less than three years ago? </t>
  </si>
  <si>
    <t>For the fraction of DOC that decomposes in the SWDS (DOCf), will you use a default factor or measure a project specific value?</t>
  </si>
  <si>
    <t>Measure</t>
  </si>
  <si>
    <t xml:space="preserve">Does the SWDS have a water table above the bottom of the SWDS? </t>
  </si>
  <si>
    <t xml:space="preserve">Select the applicable SWDS condition </t>
  </si>
  <si>
    <t>Unmanaged solid waste disposal sites – deep</t>
  </si>
  <si>
    <t>For the methane correction factor (DOCj), will you use a default factor or measure/calculate a project specific value?</t>
  </si>
  <si>
    <t>Default</t>
  </si>
  <si>
    <t xml:space="preserve">For industrial sludge, either a value of 9 per cent (% wet sludge) may be used as a default, assuming an organic dry matter content of 35 percent, or alternatively, if the percentage of organic dry matter content is known, then the DOC value may be calculated as follows: DOCj (% wet sludge) = 9 * (% organic dry matter content/35); 
For domestic sludge, either a value of 5 per cent (% wet sludge) may be used as a default, assuming an organic dry matter content of 10 per cent, or alternatively, if the percentage of organic dry matter content is known, then the DOC value may be calculated as follows: DOCj (% wet sludge) = 5 * (% organic dry matter content/10). 
If a waste type is not comparable to </t>
  </si>
  <si>
    <t>Select the applicable waste type (j)</t>
  </si>
  <si>
    <t>Pulp, paper and cardboard (other than sludge)</t>
  </si>
  <si>
    <t>If waste type (j) = "other", please specify</t>
  </si>
  <si>
    <t xml:space="preserve">Does the SWDS have only one type of waste disposed (for example, in the case of a residual waste)? </t>
  </si>
  <si>
    <t>Determining the baseline model correction factor (φy)</t>
  </si>
  <si>
    <t>Option 1: Default</t>
  </si>
  <si>
    <t>φdefault; Model correction factor to account for model uncertainties for year y</t>
  </si>
  <si>
    <t>Option 2: Uncertainty Analysis</t>
  </si>
  <si>
    <t>a (W)</t>
  </si>
  <si>
    <t>b (DOCj)</t>
  </si>
  <si>
    <t>c (DOCf)</t>
  </si>
  <si>
    <t>d (F)</t>
  </si>
  <si>
    <t>e (MCFy)</t>
  </si>
  <si>
    <r>
      <t>g [e</t>
    </r>
    <r>
      <rPr>
        <vertAlign val="superscript"/>
        <sz val="11"/>
        <color theme="1"/>
        <rFont val="Calibri"/>
        <family val="2"/>
        <scheme val="minor"/>
      </rPr>
      <t>−𝑘𝑗×(𝑦−𝑥)</t>
    </r>
    <r>
      <rPr>
        <sz val="11"/>
        <color theme="1"/>
        <rFont val="Calibri"/>
        <family val="2"/>
        <scheme val="minor"/>
      </rPr>
      <t xml:space="preserve"> × (1 − e</t>
    </r>
    <r>
      <rPr>
        <vertAlign val="superscript"/>
        <sz val="11"/>
        <color theme="1"/>
        <rFont val="Calibri"/>
        <family val="2"/>
        <scheme val="minor"/>
      </rPr>
      <t>−𝑘𝑗</t>
    </r>
    <r>
      <rPr>
        <sz val="11"/>
        <color theme="1"/>
        <rFont val="Calibri"/>
        <family val="2"/>
        <scheme val="minor"/>
      </rPr>
      <t>)]</t>
    </r>
  </si>
  <si>
    <t>Vy</t>
  </si>
  <si>
    <t>Overall uncertainty of the determination of methane generation in year y</t>
  </si>
  <si>
    <t>𝜑y</t>
  </si>
  <si>
    <t>Model correction factor to account for model uncertainties for year y</t>
  </si>
  <si>
    <t>Determining the amounts of waste types j disposed in the SWDS (Wj,x or Wj,i)</t>
  </si>
  <si>
    <t>Application A</t>
  </si>
  <si>
    <t xml:space="preserve">Wj,x </t>
  </si>
  <si>
    <t xml:space="preserve">Wj,x or Wj,i calculated based on information from the SWDS owner and administration and from interviews with senior employees. </t>
  </si>
  <si>
    <t>Pn,j,x</t>
  </si>
  <si>
    <t>Fraction of the waste type j in the sample n collected during the year x (weight fraction)</t>
  </si>
  <si>
    <t xml:space="preserve">[Click to add sample] </t>
  </si>
  <si>
    <t>Zx</t>
  </si>
  <si>
    <t>Number of samples collected during the year x</t>
  </si>
  <si>
    <t>𝑊x</t>
  </si>
  <si>
    <t>Total amount of solid waste disposed or prevented from disposal in the SWDS in year x (t)</t>
  </si>
  <si>
    <t>P𝑗,x</t>
  </si>
  <si>
    <t>Average fraction of the waste type j in the waste in year x (weight fraction)</t>
  </si>
  <si>
    <t>𝑊𝑗,𝑥</t>
  </si>
  <si>
    <t>Amount of solid waste type j disposed or prevented from disposal in the SWDS in the year x (t)</t>
  </si>
  <si>
    <t>Determining the fraction of DOC that decomposes in the SWDS (DOCf,y)</t>
  </si>
  <si>
    <t>DOCf,default</t>
  </si>
  <si>
    <t xml:space="preserve">Fraction of degradable organic carbon (DOC) that decomposes under the specific conditions occurring in the SWDS for year y (weight fraction) </t>
  </si>
  <si>
    <t>Measurement (MSW)</t>
  </si>
  <si>
    <t>BMPmsw</t>
  </si>
  <si>
    <t>Biochemical methane potential for the MSW disposed or prevented from disposal (t CH4/t waste)</t>
  </si>
  <si>
    <t>F</t>
  </si>
  <si>
    <t>Fraction of methane in the SWDS gas (volume fraction)</t>
  </si>
  <si>
    <t>Pj,y</t>
  </si>
  <si>
    <t>Average fraction of the waste type j in the waste in year y (weight fraction)</t>
  </si>
  <si>
    <t>DOC,j</t>
  </si>
  <si>
    <t>Fraction of degradable organic carbon in the waste type j (weight fraction)</t>
  </si>
  <si>
    <t>𝐷𝑂𝐶𝑓,y</t>
  </si>
  <si>
    <t>Measurement (Residual Waste)</t>
  </si>
  <si>
    <t>BMPj</t>
  </si>
  <si>
    <t>Biochemical methane potential for the residual waste type j disposed or prevented from disposal (t CH4/t waste)</t>
  </si>
  <si>
    <t>Determining the methane correction factor (MCFy)</t>
  </si>
  <si>
    <t>MCFdefault</t>
  </si>
  <si>
    <t>Methane correction factor for year y</t>
  </si>
  <si>
    <t>Calculated</t>
  </si>
  <si>
    <t>ℎ𝑤,y</t>
  </si>
  <si>
    <t>Height of water table Measure from the base of the SWDS (m)</t>
  </si>
  <si>
    <t>dy</t>
  </si>
  <si>
    <t>Depth of SWDS (m)</t>
  </si>
  <si>
    <t>𝑀𝐶𝐹y</t>
  </si>
  <si>
    <t>Determining the methane correction factor (DOCj)</t>
  </si>
  <si>
    <t>𝐷𝑂𝐶𝑗,default</t>
  </si>
  <si>
    <t>Measurement/Calculate</t>
  </si>
  <si>
    <t>𝐷𝑂𝐶𝑗</t>
  </si>
  <si>
    <t>Baseline (BE), Project (PE), or Leakage (LE) Methane Emissions from SWDS</t>
  </si>
  <si>
    <t>X</t>
  </si>
  <si>
    <t>Years in the time period in which waste is disposed at the SWDS, extending from the first year in the time period (x = 1) to year y (x = y)</t>
  </si>
  <si>
    <t>y</t>
  </si>
  <si>
    <t>Year of the crediting period for which methane emissions are calculated (y is a consecutive period of 12 months)</t>
  </si>
  <si>
    <t>𝑊𝑗,x</t>
  </si>
  <si>
    <t>𝑓,y</t>
  </si>
  <si>
    <t>Fraction of methane captured at the SWDS and flared, combusted or used in another manner that prevents the emissions of methane to the atmosphere in year y</t>
  </si>
  <si>
    <t>𝐺𝑊𝑃𝐶𝐻4</t>
  </si>
  <si>
    <t>Global Warming Potential of methane</t>
  </si>
  <si>
    <t>Fixed Default</t>
  </si>
  <si>
    <t>𝑂X</t>
  </si>
  <si>
    <t>Oxidation factor (reflecting the amount of methane from SWDS that is oxidized in the soil or other material covering the waste)</t>
  </si>
  <si>
    <t>𝑀𝐶𝐹𝑦</t>
  </si>
  <si>
    <t>Decay rate for the waste type j (1 / yr)</t>
  </si>
  <si>
    <t>If a waste type disposed in a SWDS cannot clearly be attributed to one
of the waste types in table 7, project participants should
choose, among the waste types that have similar characteristics, the
waste type where the values of DOCj and kj result in a conservative
estimate (lowest emissions), or request a revision of/deviation from this
methodology.</t>
  </si>
  <si>
    <t xml:space="preserve">Type of residual waste or types of waste in the MSW </t>
  </si>
  <si>
    <t>[𝐵𝐸,PE,LE] 𝐶𝐻4,𝑆𝑊𝐷𝑆,y</t>
  </si>
  <si>
    <t>[Baseline, Project, or Leakage] Methane emissions occurring in year y generated from waste disposal at a SWDS during a time period ending in year y (t CO2e/yr)</t>
  </si>
  <si>
    <t>[Click to add SWDS emission calculation]</t>
  </si>
  <si>
    <t xml:space="preserve">Add a new calculation/instance of this tool for the baseline, project, and leakage emissions. For each of the above, add another instance for each waste type (j), and year (y). Sum the waste types and years to get the totals for baseline, project, and leakage emissions (see summary tab). </t>
  </si>
  <si>
    <t>Project Emissions (PE)</t>
  </si>
  <si>
    <t>Leakage Emissions (LE)</t>
  </si>
  <si>
    <t>CH4,SWDS,y,j</t>
  </si>
  <si>
    <t>Total</t>
  </si>
  <si>
    <t>Emissions Category</t>
  </si>
  <si>
    <t>Application</t>
  </si>
  <si>
    <t>Calculation Frequency</t>
  </si>
  <si>
    <t>Binary</t>
  </si>
  <si>
    <t>Model correction factor (φy)</t>
  </si>
  <si>
    <t>Methane correction factor (DOCj)</t>
  </si>
  <si>
    <t>Climate Conditions</t>
  </si>
  <si>
    <t>Climate Type</t>
  </si>
  <si>
    <t>Waste Types (j)</t>
  </si>
  <si>
    <t xml:space="preserve">Yearly </t>
  </si>
  <si>
    <t>Boreal and Temperate</t>
  </si>
  <si>
    <t>Wood and wood products</t>
  </si>
  <si>
    <t>Weighed</t>
  </si>
  <si>
    <t>Anaerobic managed solid waste disposal sites</t>
  </si>
  <si>
    <t>Monthly</t>
  </si>
  <si>
    <t>Option 2 (Estimated)</t>
  </si>
  <si>
    <t>Dry conditions</t>
  </si>
  <si>
    <t>Unmanaged</t>
  </si>
  <si>
    <t>Semi-aerobic managed solid waste disposal sites</t>
  </si>
  <si>
    <t>Food, food waste, beverages and tobacco (other than sludge)</t>
  </si>
  <si>
    <t>Textiles</t>
  </si>
  <si>
    <t>Unmanaged-shallow solid waste disposal sites or stockpiles that are considered SWDS</t>
  </si>
  <si>
    <t>Garden, yard and park waste</t>
  </si>
  <si>
    <t>Glass, plastic, metal, other inert waste</t>
  </si>
  <si>
    <t>Empty fruit brunches (EFB)</t>
  </si>
  <si>
    <t>Industrial sludge</t>
  </si>
  <si>
    <t>Domestic sludge</t>
  </si>
  <si>
    <t>Other</t>
  </si>
  <si>
    <t xml:space="preserve">Is the load the main operating parameter that influences the efficiency of the energy generation system? </t>
  </si>
  <si>
    <t>The tool can be applied only if load is the main operating parameter that influences the efficiency of the energy generation system. For cogeneration systems, the heat to power ratio may also be considered a main operating parameter. For cogeneration projects, project participants shall also document and justify the choice of heat to power ratio used in the measurements.</t>
  </si>
  <si>
    <t xml:space="preserve">Select one of the following options to estimate the efficiency of the energy generation system. </t>
  </si>
  <si>
    <t>Option C: Establish the efficiency based on historical data and a regression analysis</t>
  </si>
  <si>
    <t xml:space="preserve">Does the energy generation systems use a single fuel type and fuel mix including waste energy? </t>
  </si>
  <si>
    <t>Indicate the type of measuring equipment used, details of how the measurements were carried out and the measurement results.</t>
  </si>
  <si>
    <t>Options (A) to (E) are applicable only to energy generation systems that use a single fuel type and fuel mix including waste energy. In case of fuel mix, the efficiency of the energy generating equipment is calculated based on the fuel with highest percentage of share in a monitoring year in terms of calorific value.</t>
  </si>
  <si>
    <t>Is this tool being applied to determine a constant efficiency?</t>
  </si>
  <si>
    <t xml:space="preserve">Has the manufacturer of the energy generation system provided load-efficiency functions or performance curves for the system at the time of installation? </t>
  </si>
  <si>
    <t xml:space="preserve">If the manufacturer does provide full load-efficiency functions or performance curves,, Option A applies over Option D. </t>
  </si>
  <si>
    <t xml:space="preserve">Do these functions or curves clearly show the efficiency of the system at all applicable loads and for the relevant range of operational conditions? </t>
  </si>
  <si>
    <t>Are the functions or curves consistent with the equipment/system characteristics?</t>
  </si>
  <si>
    <t xml:space="preserve">Has retrofitting been done on the system prior to the implementation of the project activity that could have increased its efficiency? </t>
  </si>
  <si>
    <t xml:space="preserve">Are measured data on the load and other parameters that are required to establish the efficiency of the system available on an hourly basis (or a shorter time period) for the most recent year prior to the implementation of the project activity? </t>
  </si>
  <si>
    <t xml:space="preserve">Are annual data on the efficiency of the energy generation system available for the most recent three years prior to the implementation of the project activity? </t>
  </si>
  <si>
    <t>Option A: Use the manufacturer’s load-efficiency function</t>
  </si>
  <si>
    <t>η=f(L)</t>
  </si>
  <si>
    <t>Load-efficiency function expressing the efficiency of the energy generation system as a function of the load at which the system is operated</t>
  </si>
  <si>
    <t>User-defined function</t>
  </si>
  <si>
    <t>Option B: Establish a load-efficiency function based on measurements and a regression analysis</t>
  </si>
  <si>
    <t>The tests shall be conducted by an independent entity such as the equipment supplier, sectoral experts/consultants etc. and the results of the efficiency tests shall be validated by the DOE.</t>
  </si>
  <si>
    <t>Option C: Establish the efficiency function based on historical data and a regression analysis</t>
  </si>
  <si>
    <t>η</t>
  </si>
  <si>
    <t>Efficiency of the energy generation system as a constant value</t>
  </si>
  <si>
    <t>If the tool is used to establish a constant efficiency, the highest annual efficiency from the most recent three years should be chosen.</t>
  </si>
  <si>
    <t>Project participants shall document the complete data set used to establish the efficiency function.</t>
  </si>
  <si>
    <t>Option D: Use the manufacturer’s efficiency values</t>
  </si>
  <si>
    <t>Option E: Determine the efficiency based on measurements and use a conservative value</t>
  </si>
  <si>
    <t>Document the measurement procedures and results transparently. A minimum of 10 measurements shall be taken at different loads in the full operation range or rated capacity and among the measurements, the highest efficiency shall be considered as a conservative approach. Project participants shall justify and document the chosen optimal operating conditions.</t>
  </si>
  <si>
    <t>Option F: Use a default value</t>
  </si>
  <si>
    <t xml:space="preserve">Project participants may use the default values for the applicable technology from the appendix as constant efficiency. See default values tables. </t>
  </si>
  <si>
    <t xml:space="preserve">Value to be Used in Main Framework Schema </t>
  </si>
  <si>
    <t>Auto-calculation</t>
  </si>
  <si>
    <t>Efficiency Estimation Options</t>
  </si>
  <si>
    <t>Binary Yes/No</t>
  </si>
  <si>
    <t xml:space="preserve">Question </t>
  </si>
  <si>
    <t xml:space="preserve">Answer </t>
  </si>
  <si>
    <t xml:space="preserve">Multiple Answers </t>
  </si>
  <si>
    <t xml:space="preserve">Is transportation the main project activity? </t>
  </si>
  <si>
    <t>Select One</t>
  </si>
  <si>
    <t xml:space="preserve">Is the tool being used to calculate project emissions (PEtr,m) or leakage emissions (LEtr,m)? </t>
  </si>
  <si>
    <t>Project emissions (PEtr,m)</t>
  </si>
  <si>
    <t>f</t>
  </si>
  <si>
    <t xml:space="preserve">Which freight transportation activities (f) will occur under the project activity? </t>
  </si>
  <si>
    <t>Activity 1</t>
  </si>
  <si>
    <t>Click to add transportation activity (f)</t>
  </si>
  <si>
    <r>
      <t xml:space="preserve">All fields below must be completed for </t>
    </r>
    <r>
      <rPr>
        <u/>
        <sz val="11"/>
        <color theme="1"/>
        <rFont val="Calibri"/>
        <family val="2"/>
        <scheme val="minor"/>
      </rPr>
      <t>each</t>
    </r>
    <r>
      <rPr>
        <sz val="11"/>
        <color theme="1"/>
        <rFont val="Calibri"/>
        <family val="2"/>
        <scheme val="minor"/>
      </rPr>
      <t xml:space="preserve"> transportation activity </t>
    </r>
  </si>
  <si>
    <t>For each freight transportation activities (f), the origin of the freight (to the extent that this is known at validation)</t>
  </si>
  <si>
    <t>Source 1</t>
  </si>
  <si>
    <t>For each freight transportation activities (f), the destination of the freight (to the extent that this is known at validation)</t>
  </si>
  <si>
    <t>Facility 1</t>
  </si>
  <si>
    <t>For each freight transportation activities (f), the type(s) of freight that are planned to be transported</t>
  </si>
  <si>
    <t>Sugar cane bagasse</t>
  </si>
  <si>
    <t xml:space="preserve">For each freight transportation activities (f), the planned number of trips made </t>
  </si>
  <si>
    <t>FRf,m</t>
  </si>
  <si>
    <t>For each freight transportation activities (f), the planned quantity of freight that should be transported (t)</t>
  </si>
  <si>
    <t xml:space="preserve">Total mass of freight transported in freight transportation activity f in monitoring period m (t) </t>
  </si>
  <si>
    <t xml:space="preserve">For each freight transportation activities (f),which option will be used to determine project or leakage emissions from road transportation of freight? </t>
  </si>
  <si>
    <t>Option A: Monitoring fuel consumption</t>
  </si>
  <si>
    <t>For each freight transportation activities (f), select the mode of transportation</t>
  </si>
  <si>
    <t>Road Vehicle</t>
  </si>
  <si>
    <t>For each freight transportation activities (f), select the vehicle class</t>
  </si>
  <si>
    <t>Heavy</t>
  </si>
  <si>
    <t xml:space="preserve">Please detail and document how data on fuel consumption is collected and checked. </t>
  </si>
  <si>
    <t xml:space="preserve">The monitoring plan shall document how data on fuel consumption is collected and checked. </t>
  </si>
  <si>
    <t>[PE, LE] tr,m</t>
  </si>
  <si>
    <t>[Project or Leakage] emissions from transportation of freight in monitoring
period m</t>
  </si>
  <si>
    <t>Referenced Parameter</t>
  </si>
  <si>
    <t xml:space="preserve">Element process j corresponds to the combustion of fuels in the vehicles. If biofuels are used, then the corresponding CO2 emission factor of the fossil fuels that would most likely be used in the absence of the use of biofuels should be used. If biofuel blends are consumed, then the CO2 emission factor of the fossil fuel used in the blend shall be used, as a conservative simplification. The monitored fuel consumption shall include fuel consumed by the vehicles on both outbound and return trips, even if the vehicles also transport freight not associated with the project activity. </t>
  </si>
  <si>
    <t>Option B: Using conservative default values</t>
  </si>
  <si>
    <t>Df,m</t>
  </si>
  <si>
    <t>Road (or rail line) distance between the origin and the destination (km)</t>
  </si>
  <si>
    <t xml:space="preserve">Return trip distance between the origin and destination of freight transportation activity f in monitoring period m (km) </t>
  </si>
  <si>
    <t>EFco2,f</t>
  </si>
  <si>
    <t>Default CO2 emission factor for freight transportation activity f
(g CO2/t km)</t>
  </si>
  <si>
    <t xml:space="preserve">Auto-calculation </t>
  </si>
  <si>
    <t>[Project or Leakage] Emissions from transportation of freight in monitoring
period m</t>
  </si>
  <si>
    <t>Project Emissions Monitoring Summary Table</t>
  </si>
  <si>
    <t>Activity (f)</t>
  </si>
  <si>
    <t>Freight Type</t>
  </si>
  <si>
    <t>Weight (t)</t>
  </si>
  <si>
    <t>Origin</t>
  </si>
  <si>
    <t>Destination</t>
  </si>
  <si>
    <t>Road Distance (km)</t>
  </si>
  <si>
    <t>Transportation Mode</t>
  </si>
  <si>
    <t>Vehicle Class</t>
  </si>
  <si>
    <t>PEtr,m</t>
  </si>
  <si>
    <t>Leakage Emissions Monitoring Summary Table</t>
  </si>
  <si>
    <t>Options</t>
  </si>
  <si>
    <t>Mode of Transportation</t>
  </si>
  <si>
    <t>Type of Emissions Estimates</t>
  </si>
  <si>
    <t>Rail</t>
  </si>
  <si>
    <t xml:space="preserve">Light </t>
  </si>
  <si>
    <t>Leakage emissions (LEtr,m)</t>
  </si>
  <si>
    <t xml:space="preserve">TOOL 32: Positive lists of technologies </t>
  </si>
  <si>
    <t>if/then</t>
  </si>
  <si>
    <t>Choose which activity project falls under:</t>
  </si>
  <si>
    <t>Waste handling and disposal</t>
  </si>
  <si>
    <t>3 options:
- Waste handling and disposal
- Renewable energy
- Household, communities, or Small and Medium Enterprises (SMEs)</t>
  </si>
  <si>
    <t xml:space="preserve">Waste handling and disposal </t>
  </si>
  <si>
    <t>Choose which waste handling and disposal activity the project falls under:</t>
  </si>
  <si>
    <t>Methane recovery in wastewater treatment</t>
  </si>
  <si>
    <t>2 options:
- Landfill gas recovery and its gainful use
- Methane recovery in wastewater treatment</t>
  </si>
  <si>
    <t>If Landfill gas recovery and its gainful use:</t>
  </si>
  <si>
    <t>Does project meet the following conditions?
(a) The LFG is used to generate electricity in one or several power plants with a total nameplate capacity that equals or is below 10 MW
(b) The LFG is used to generate heat for internal or external consumption
(c) The LFG is flared</t>
  </si>
  <si>
    <t xml:space="preserve">If Yes: Project is deemed additional.
If No: Project is deemed not additional.
</t>
  </si>
  <si>
    <t>If Methane recovery in wastewater treatment:</t>
  </si>
  <si>
    <t xml:space="preserve">Does the project meet the following conditions?
(a) The existing treatment system is an anaerobic lagoon and the wastewater discharged meets the host country regulation; 
(b) There is no regulation in the host country that requires the management of biogas from domestic, industrial and agricultural sites; 
(c) There is no capacity increase in the wastewater treatment system; 
(d) No other alternative economic activity is expected to be undertaken on the land of the existing lagoon; 
(e) The biogas is used to generate electricity in one or more power plants, and the total nameplate capacity is below 5 MW. </t>
  </si>
  <si>
    <t>Renewable energy</t>
  </si>
  <si>
    <t>Choose which renewable energy activity the project falls under:</t>
  </si>
  <si>
    <t>Tech for large-scale grid-connected power generation</t>
  </si>
  <si>
    <t xml:space="preserve">5 options:
- Tech for large-scale grid-connected power generation
- Tech for large-scale isolated grid power generation
- Tech for small-scale grid-connected power generation 
- Tech for small-scale off-grid power generation
- Rural electrification projects </t>
  </si>
  <si>
    <t>If tech for large-scale grid-connected power generation:</t>
  </si>
  <si>
    <t xml:space="preserve">Choose which grid-connected electricity generation technology used out of the positive list: </t>
  </si>
  <si>
    <t>Off-shore wind technologies</t>
  </si>
  <si>
    <t>List of positive tech considered</t>
  </si>
  <si>
    <t>After choosing tech for large-scale grid-connected power generation:</t>
  </si>
  <si>
    <t xml:space="preserve">Does the project meet the following conditions?
(a) The percentage share of total installed capacity of the specific technology in the total installed grid connected power generation capacity in the host country is equal to or less than two per cent; or
(b) The total installed capacity of the technology in the host country is less than or equal to 50 MW. </t>
  </si>
  <si>
    <t>If tech for large-scale isolated grid power generation :</t>
  </si>
  <si>
    <t>Solar photovoltaic technologies</t>
  </si>
  <si>
    <t>After choosing tech for isolated grid power generation :</t>
  </si>
  <si>
    <t xml:space="preserve">Does the project meet the following conditions?
(a) The percentage share of total installed isolated grid power generation capacity of the specific technology in the total installed isolated grid power generation capacity in the host country is equal to or less than two per cent; or 
(b) The total installed isolated grid power generation capacity of the specific technology in the host country is less than or equal to 50 MW. </t>
  </si>
  <si>
    <t>If tech for small-scale grid-connected power generation:</t>
  </si>
  <si>
    <t xml:space="preserve">Does the project include technologies in the following positive list?
(a) Solar thermal electricity generation including concentrating solar power 
(b) Off-shore wind technologies
(c) Marine wave technologies
d) Marine tidal technologies
(e) Building-integrated wind turbines or household rooftop wind turbines of a size up to 100 kW
(f) Biomass internal gasification combined cycle . </t>
  </si>
  <si>
    <t>(Explanation/proof to demonstrate technology used in previous question.)</t>
  </si>
  <si>
    <t>If tech for small-scale off-grid power generation:</t>
  </si>
  <si>
    <t>Does the project meet the following conditions? (as well as not exceeding the thresholds indicated in parentheses with the aggregate project installed capacity not exceeding the 15 MW threshold)
(a) Micro/pico-hydro (with power plant size up to 100 kW)
(b) Micro/pico-wind turbine (up to 100 kW)
(c) PV-wind hybrid (up to 100 kW)
d) Geothermal (up to 200 kW)
(e) Biomass gasification/biogas (up to 100 kW)</t>
  </si>
  <si>
    <t>If Rural electrification projects:</t>
  </si>
  <si>
    <t xml:space="preserve">Does the project meet the following conditions?
(a) Rural electrification rate in the country is below 50 per cent; 
(b) Geography: Least Developed Countries , Small Island Developing States , Special Under Developed Zone (SUZ)
(c) Recent trends: rural electrification rate has increased by less than 20 per cent over the past 10 years; 
(d) The extension of a grid for rural electrification of a community involves at least a distance of 3 km from the point of grid extension to the rural community at which the CDM project is implemented. </t>
  </si>
  <si>
    <t xml:space="preserve">Positive list for technology/measure used by household, communities and SMEs </t>
  </si>
  <si>
    <t>Choose which technology/measure the project falls under:</t>
  </si>
  <si>
    <t>Micro-irrigation</t>
  </si>
  <si>
    <t>3 options:
- Biogas digesters for cooking
- Micro-irrigation
- Energy efficient pump-set for agriculture</t>
  </si>
  <si>
    <t>Property</t>
  </si>
  <si>
    <t>Methodology List</t>
  </si>
  <si>
    <t>AccountableImpactOrganization.id</t>
  </si>
  <si>
    <t>ACR- Truck Stop Electrification</t>
  </si>
  <si>
    <t>ACR- Advanced Refrigeration Systems</t>
  </si>
  <si>
    <t>AccountableImpactOrganization.description</t>
  </si>
  <si>
    <t xml:space="preserve">ACR- Certified Reclaimed HFC Refrigerants, Propellants, and Fire Suppressants </t>
  </si>
  <si>
    <t>ACR - Destruction of Ozone Depleting Substances and High-GWP Foam</t>
  </si>
  <si>
    <t>ACR- Destruction of Ozone Depleting Substances from International Sources</t>
  </si>
  <si>
    <t>AccountableImpactOrganization.country</t>
  </si>
  <si>
    <t>ACR- Transition to Advanced Formulation Blowing Agents in Foam Manufacturing</t>
  </si>
  <si>
    <t>AccountableImpactOrganization.region</t>
  </si>
  <si>
    <t>ACR - Afforestation and Reforestation of Degraded Lands</t>
  </si>
  <si>
    <t>AccountableImpactOrganization.informationLink</t>
  </si>
  <si>
    <t xml:space="preserve">ACR- Avoided Conversion of Grasslands and Shrublands to Crop Production </t>
  </si>
  <si>
    <t>AccountableImpactOrganization.mediaLinks</t>
  </si>
  <si>
    <t>ACR - Improved Forest Management (IFM) on Canadian Forestlands</t>
  </si>
  <si>
    <t>AccountableImpactOrganization.attestations</t>
  </si>
  <si>
    <t>ACR- Improved Forest Management (IFM) on Non-Federal U.S. Forestlands</t>
  </si>
  <si>
    <t xml:space="preserve">ACR- Improved Forest Management (IFM) on Small Non-Industrial Private Forestlands </t>
  </si>
  <si>
    <t>ActivityImpactModule.id</t>
  </si>
  <si>
    <t>ACR - Restoration of California Deltaic and Coastal Wetlands</t>
  </si>
  <si>
    <t>ActivityImpactModule.aioId</t>
  </si>
  <si>
    <t>ACR- Restoration of Pocosin Wetlands ACR - Carbon Capture and Storage Projects</t>
  </si>
  <si>
    <t>ActivityImpactModule.name</t>
  </si>
  <si>
    <t>CAR - Adipic Acid Production</t>
  </si>
  <si>
    <t>ActivityImpactModule.classificationCategory</t>
  </si>
  <si>
    <t xml:space="preserve">ACR- Landfill Gas Destruction and Beneficial Use Projects </t>
  </si>
  <si>
    <t>ActivityImpactModule.classificationMethod</t>
  </si>
  <si>
    <t>CAR- Biochar</t>
  </si>
  <si>
    <t>ActivityImpactModule.benefitCategory</t>
  </si>
  <si>
    <t>CAR- Canada Grassland</t>
  </si>
  <si>
    <t xml:space="preserve">CAR - Coal Mine Methane </t>
  </si>
  <si>
    <t>CAR - Forest</t>
  </si>
  <si>
    <t>CAR- Grassland</t>
  </si>
  <si>
    <t>ActivityImpactModule.arbId</t>
  </si>
  <si>
    <t>CAR- Mexico Boiler Efficiency</t>
  </si>
  <si>
    <t>ActivityImpactModule.geographicLocation</t>
  </si>
  <si>
    <t>CAR - Mexico Forest</t>
  </si>
  <si>
    <t>ActivityImpactModule.firstYearIssuance</t>
  </si>
  <si>
    <t>CAR- Mexico Halocarbon</t>
  </si>
  <si>
    <t>ActivityImpactModule.registryProjectId</t>
  </si>
  <si>
    <t xml:space="preserve">CAR - Mexico Landfill </t>
  </si>
  <si>
    <t>ActivityImpactModule.developers</t>
  </si>
  <si>
    <t>CAR - Mexico Livestock</t>
  </si>
  <si>
    <t>ActivityImpactModule.sponsors</t>
  </si>
  <si>
    <t>CAR - Nitric Acid Production</t>
  </si>
  <si>
    <t>ActivityImpactModule.claimSources</t>
  </si>
  <si>
    <t xml:space="preserve">CAR- Mexico Ozone Depleting Substances </t>
  </si>
  <si>
    <t>ActivityImpactModule.impactClaims</t>
  </si>
  <si>
    <t>CAR - Organic Waste Composting</t>
  </si>
  <si>
    <t>ActivityImpactModule.mrvExtensions</t>
  </si>
  <si>
    <t xml:space="preserve">CAR - Organic Waste Digestion </t>
  </si>
  <si>
    <t>ActivityImpactModule.validations</t>
  </si>
  <si>
    <t xml:space="preserve">CAR - Ozone Depleting Substances </t>
  </si>
  <si>
    <t>ActivityImpactModule.attestations</t>
  </si>
  <si>
    <t>CAR - Rice Cultivation</t>
  </si>
  <si>
    <t>ActivityImpactModule.accountableImpactOrganization</t>
  </si>
  <si>
    <t>CAR- Nitrogen Management</t>
  </si>
  <si>
    <t xml:space="preserve">CAR - Soil Enrichment </t>
  </si>
  <si>
    <t xml:space="preserve">CAR - Urban Forest Management </t>
  </si>
  <si>
    <t>CAR - Urban Tree Planting</t>
  </si>
  <si>
    <t xml:space="preserve">CAR - U.S. Landfill </t>
  </si>
  <si>
    <t>CAR - U.S. Livestock</t>
  </si>
  <si>
    <t>CDM - AM0001</t>
  </si>
  <si>
    <t>Address.addressType</t>
  </si>
  <si>
    <t>CDM - AM0007</t>
  </si>
  <si>
    <t>Address.addressLines</t>
  </si>
  <si>
    <t>CDM - AM0009</t>
  </si>
  <si>
    <t>Address.city</t>
  </si>
  <si>
    <t>CDM - AM0017</t>
  </si>
  <si>
    <t>Address.state</t>
  </si>
  <si>
    <t>CDM - AM0018</t>
  </si>
  <si>
    <t>Address.zip</t>
  </si>
  <si>
    <t>CDM - AM0019</t>
  </si>
  <si>
    <t>Address.country</t>
  </si>
  <si>
    <t>CDM - AM0020</t>
  </si>
  <si>
    <t>Any.typeUrl</t>
  </si>
  <si>
    <t>CDM - AM0021</t>
  </si>
  <si>
    <t>Any.value</t>
  </si>
  <si>
    <t>CDM - AM0023</t>
  </si>
  <si>
    <t>Attestation.tag</t>
  </si>
  <si>
    <t>CDM - AM0026</t>
  </si>
  <si>
    <t>Attestation.type</t>
  </si>
  <si>
    <t>CDM - AM0027</t>
  </si>
  <si>
    <t>Attestation.proofType</t>
  </si>
  <si>
    <t>CDM - AM0028</t>
  </si>
  <si>
    <t>Attestation.attestor</t>
  </si>
  <si>
    <t>CDM - AM0030</t>
  </si>
  <si>
    <t>Attestation.signature</t>
  </si>
  <si>
    <t>CDM - AM0031</t>
  </si>
  <si>
    <t>Audits.auditDate</t>
  </si>
  <si>
    <t>CDM - AM0035</t>
  </si>
  <si>
    <t>Audits.auditReports</t>
  </si>
  <si>
    <t>CDM - AM0036</t>
  </si>
  <si>
    <t>CRU.id</t>
  </si>
  <si>
    <t>CDM - AM0037</t>
  </si>
  <si>
    <t>CRU.quantity</t>
  </si>
  <si>
    <t>CDM - AM0038</t>
  </si>
  <si>
    <t>CRU.unit</t>
  </si>
  <si>
    <t>CDM - AM0043</t>
  </si>
  <si>
    <t>CRU.ownerId</t>
  </si>
  <si>
    <t>CDM - AM0044</t>
  </si>
  <si>
    <t>CRU.listingAgentId</t>
  </si>
  <si>
    <t>CDM - AM0045</t>
  </si>
  <si>
    <t>CRU.coreCarbonPrinciples</t>
  </si>
  <si>
    <t>CDM - AM0046</t>
  </si>
  <si>
    <t>CRU.climateLabels</t>
  </si>
  <si>
    <t>CDM - AM0048</t>
  </si>
  <si>
    <t>CRU.status</t>
  </si>
  <si>
    <t>CDM - AM0049</t>
  </si>
  <si>
    <t>CRU.referencedCredit</t>
  </si>
  <si>
    <t>CDM - AM0050</t>
  </si>
  <si>
    <t>CRU.appliedToId</t>
  </si>
  <si>
    <t>CDM - AM0052</t>
  </si>
  <si>
    <t>CRU.processedClaimId</t>
  </si>
  <si>
    <t>CDM - AM0053</t>
  </si>
  <si>
    <t>CRU.issuerId</t>
  </si>
  <si>
    <t>CDM - AM0055</t>
  </si>
  <si>
    <t>CRU.processedClaim</t>
  </si>
  <si>
    <t>CDM - AM0056</t>
  </si>
  <si>
    <t>CheckpointResult.id</t>
  </si>
  <si>
    <t>CDM - AM0057</t>
  </si>
  <si>
    <t>CheckpointResult.checkpointId</t>
  </si>
  <si>
    <t>CDM - AM0058</t>
  </si>
  <si>
    <t>CheckpointResult.linkToVerificationData</t>
  </si>
  <si>
    <t>CDM - AM0059</t>
  </si>
  <si>
    <t>CheckpointResult.dateRange</t>
  </si>
  <si>
    <t>CDM - AM0060</t>
  </si>
  <si>
    <t>CheckpointResult.efBefore</t>
  </si>
  <si>
    <t>CDM - AM0061</t>
  </si>
  <si>
    <t>CheckpointResult.efAfter</t>
  </si>
  <si>
    <t>CDM - AM0062</t>
  </si>
  <si>
    <t>CheckpointResult.mrvExtensions</t>
  </si>
  <si>
    <t>CDM - AM0063</t>
  </si>
  <si>
    <t>ClaimSource.id</t>
  </si>
  <si>
    <t>CDM - AM0064</t>
  </si>
  <si>
    <t>ClaimSource.aimId</t>
  </si>
  <si>
    <t>CDM - AM0065</t>
  </si>
  <si>
    <t>ClaimSource.name</t>
  </si>
  <si>
    <t>CDM - AM0066</t>
  </si>
  <si>
    <t>ClaimSource.description</t>
  </si>
  <si>
    <t>CDM - AM0067</t>
  </si>
  <si>
    <t>ClaimSource.location</t>
  </si>
  <si>
    <t>CDM - AM0068</t>
  </si>
  <si>
    <t>ClaimSource.sourceType</t>
  </si>
  <si>
    <t>CDM - AM0069</t>
  </si>
  <si>
    <t>ClaimSource.unitOfMeasure</t>
  </si>
  <si>
    <t>CDM - AM0070</t>
  </si>
  <si>
    <t>ClaimSource.sourceIdentifier</t>
  </si>
  <si>
    <t>CDM - AM0071</t>
  </si>
  <si>
    <t>ClaimSource.mrvExtensions</t>
  </si>
  <si>
    <t>CDM - AM0072</t>
  </si>
  <si>
    <t>ClimateLabel.id</t>
  </si>
  <si>
    <t>CDM - AM0073</t>
  </si>
  <si>
    <t>ClimateLabel.name</t>
  </si>
  <si>
    <t>CDM - AM0074</t>
  </si>
  <si>
    <t>ClimateLabel.description</t>
  </si>
  <si>
    <t>CDM - AM0075</t>
  </si>
  <si>
    <t>CDM - AM0076</t>
  </si>
  <si>
    <t>CoBenefit.description</t>
  </si>
  <si>
    <t>CDM - AM0077</t>
  </si>
  <si>
    <t>CoreCarbonPrinciples.assetId</t>
  </si>
  <si>
    <t>CDM - AM0078</t>
  </si>
  <si>
    <t>CoreCarbonPrinciples.issuanceDate</t>
  </si>
  <si>
    <t>CDM - AM0079</t>
  </si>
  <si>
    <t>CoreCarbonPrinciples.vintage</t>
  </si>
  <si>
    <t>CDM - AM0080</t>
  </si>
  <si>
    <t>CoreCarbonPrinciples.generationType</t>
  </si>
  <si>
    <t>CDM - AM0081</t>
  </si>
  <si>
    <t>CoreCarbonPrinciples.verificationStandard</t>
  </si>
  <si>
    <t>CDM - AM0082</t>
  </si>
  <si>
    <t>CoreCarbonPrinciples.mitigationActivity</t>
  </si>
  <si>
    <t>CDM - AM0083</t>
  </si>
  <si>
    <t>CoreCarbonPrinciples.durability</t>
  </si>
  <si>
    <t>CDM - AM0084</t>
  </si>
  <si>
    <t>CoreCarbonPrinciples.replacement</t>
  </si>
  <si>
    <t>CDM - AM0086</t>
  </si>
  <si>
    <t>CoreCarbonPrinciples.parisAgreementCompliance</t>
  </si>
  <si>
    <t>CDM - AM0088</t>
  </si>
  <si>
    <t>CoreCarbonPrinciples.quantifiedSdgImpacts</t>
  </si>
  <si>
    <t>CDM - AM0089</t>
  </si>
  <si>
    <t>CoreCarbonPrinciples.adaptationCoBenefits</t>
  </si>
  <si>
    <t>CDM - AM0090</t>
  </si>
  <si>
    <t>Credential.context</t>
  </si>
  <si>
    <t>CDM - AM0091</t>
  </si>
  <si>
    <t>Credential.id</t>
  </si>
  <si>
    <t>CDM - AM0092</t>
  </si>
  <si>
    <t>Credential.type</t>
  </si>
  <si>
    <t>CDM - AM0093</t>
  </si>
  <si>
    <t>Credential.issuer</t>
  </si>
  <si>
    <t>CDM - AM0094</t>
  </si>
  <si>
    <t>Credential.issuanceDate</t>
  </si>
  <si>
    <t>CDM - AM0095</t>
  </si>
  <si>
    <t>Credential.credentialSubject</t>
  </si>
  <si>
    <t>CDM - AM0096</t>
  </si>
  <si>
    <t>Credential.proof</t>
  </si>
  <si>
    <t>CDM - AM0097</t>
  </si>
  <si>
    <t>CredentialSubject.id</t>
  </si>
  <si>
    <t>CDM - AM0098</t>
  </si>
  <si>
    <t>CredentialSubject.property</t>
  </si>
  <si>
    <t>CDM - AM0099</t>
  </si>
  <si>
    <t>DataExtension.key</t>
  </si>
  <si>
    <t>CDM - AM0100</t>
  </si>
  <si>
    <t>DataExtension.value</t>
  </si>
  <si>
    <t>CDM - AM0101</t>
  </si>
  <si>
    <t>DataExtension.data</t>
  </si>
  <si>
    <t>CDM - AM0103</t>
  </si>
  <si>
    <t>Date.dateTime</t>
  </si>
  <si>
    <t>CDM - AM0104</t>
  </si>
  <si>
    <t>Date.dateString</t>
  </si>
  <si>
    <t>CDM - AM0105</t>
  </si>
  <si>
    <t>DatePoint.date</t>
  </si>
  <si>
    <t>CDM - AM0106</t>
  </si>
  <si>
    <t>DatePoint.timeStamp</t>
  </si>
  <si>
    <t>CDM - AM0107</t>
  </si>
  <si>
    <t>DateRange.startDate</t>
  </si>
  <si>
    <t>CDM - AM0108</t>
  </si>
  <si>
    <t>DateRange.endDate</t>
  </si>
  <si>
    <t>CDM - AM0109</t>
  </si>
  <si>
    <t>Degradable.percentage</t>
  </si>
  <si>
    <t>CDM - AM0110</t>
  </si>
  <si>
    <t>Degradable.factor</t>
  </si>
  <si>
    <t>CDM - AM0111</t>
  </si>
  <si>
    <t>Degradable.degradationType</t>
  </si>
  <si>
    <t>CDM - AM0112</t>
  </si>
  <si>
    <t>DigitalSignature.type</t>
  </si>
  <si>
    <t>CDM - AM0113</t>
  </si>
  <si>
    <t>DigitalSignature.jws</t>
  </si>
  <si>
    <t>CDM - AM0114</t>
  </si>
  <si>
    <t>DigitalSignature.vc</t>
  </si>
  <si>
    <t>CDM - AM0115</t>
  </si>
  <si>
    <t>DigitalSignature.signatureCase</t>
  </si>
  <si>
    <t>CDM - AM0116</t>
  </si>
  <si>
    <t>Durability.storageType</t>
  </si>
  <si>
    <t>CDM - AM0117</t>
  </si>
  <si>
    <t>Durability.years</t>
  </si>
  <si>
    <t>CDM - AM0118</t>
  </si>
  <si>
    <t>Durability.degradable</t>
  </si>
  <si>
    <t>CDM - AM0119</t>
  </si>
  <si>
    <t>Durability.reversalMitigation</t>
  </si>
  <si>
    <t>CDM - AM0120</t>
  </si>
  <si>
    <t>GeographicLocation.longitude</t>
  </si>
  <si>
    <t>CDM - AM0121</t>
  </si>
  <si>
    <t>GeographicLocation.latitude</t>
  </si>
  <si>
    <t>CDM - AM0122</t>
  </si>
  <si>
    <t>GeographicLocation.geoJsonOrKml</t>
  </si>
  <si>
    <t>CDM - AMS-I.A.</t>
  </si>
  <si>
    <t>GeographicLocation.geographicLocationFile</t>
  </si>
  <si>
    <t>CDM - AMS-I.B.</t>
  </si>
  <si>
    <t>ImpactClaim.id</t>
  </si>
  <si>
    <t>CDM - AMS-I.C.</t>
  </si>
  <si>
    <t>ImpactClaim.aimId</t>
  </si>
  <si>
    <t>CDM - AMS-I.D.</t>
  </si>
  <si>
    <t>ImpactClaim.processedClaimId</t>
  </si>
  <si>
    <t>CDM - AMS-I.E.</t>
  </si>
  <si>
    <t>ImpactClaim.unit</t>
  </si>
  <si>
    <t>CDM - AMS-I.F.</t>
  </si>
  <si>
    <t>CDM - AMS-I.G.</t>
  </si>
  <si>
    <t>ImpactClaim.coBenefits</t>
  </si>
  <si>
    <t>CDM - AMS-I.H.</t>
  </si>
  <si>
    <t>ImpactClaim.checkpoints</t>
  </si>
  <si>
    <t>CDM - AMS-I.I.</t>
  </si>
  <si>
    <t>ImpactClaim.mrvExtensions</t>
  </si>
  <si>
    <t>CDM - AMS-I.J.</t>
  </si>
  <si>
    <t>ImpactClaim.activityImpactModule</t>
  </si>
  <si>
    <t>CDM - AMS-I.K.</t>
  </si>
  <si>
    <t>ImpactClaimCheckpoint.id</t>
  </si>
  <si>
    <t>CDM - AMS-I.L.</t>
  </si>
  <si>
    <t>ImpactClaimCheckpoint.claimId</t>
  </si>
  <si>
    <t>CDM - AMS-I.M.</t>
  </si>
  <si>
    <t>ImpactClaimCheckpoint.claimSourceIds</t>
  </si>
  <si>
    <t>CDM - AMS-II.A.</t>
  </si>
  <si>
    <t>ImpactClaimCheckpoint.projectDeveloperId</t>
  </si>
  <si>
    <t>CDM - AMS-II.B.</t>
  </si>
  <si>
    <t>CDM - AMS-II.C.</t>
  </si>
  <si>
    <t>CDM - AMS-II.D.</t>
  </si>
  <si>
    <t>ImpactClaimCheckpoint.checkpointDateRange</t>
  </si>
  <si>
    <t>CDM - AMS-II.E.</t>
  </si>
  <si>
    <t>ImpactClaimCheckpoint.verifiedLinkToCheckpointData</t>
  </si>
  <si>
    <t>CDM - AMS-II.F.</t>
  </si>
  <si>
    <t>ImpactClaimCheckpoint.mrvExtensions</t>
  </si>
  <si>
    <t>CDM - AMS-II.G.</t>
  </si>
  <si>
    <t>ImpactClaimCheckpoint.spanDataPackage</t>
  </si>
  <si>
    <t>CDM - AMS-II.H.</t>
  </si>
  <si>
    <t>MRVRequirements.measurementSpecification</t>
  </si>
  <si>
    <t>CDM - AMS-II.I.</t>
  </si>
  <si>
    <t>MRVRequirements.specificationLink</t>
  </si>
  <si>
    <t>CDM - AMS-II.J.</t>
  </si>
  <si>
    <t>MRVRequirements.precision</t>
  </si>
  <si>
    <t>CDM - AMS-II.K.</t>
  </si>
  <si>
    <t>MRVRequirements.claimPeriod</t>
  </si>
  <si>
    <t>CDM - AMS-II.L.</t>
  </si>
  <si>
    <t>Manifest.id</t>
  </si>
  <si>
    <t>CDM - AMS-II.M.</t>
  </si>
  <si>
    <t>Manifest.version</t>
  </si>
  <si>
    <t>CDM - AMS-II.N.</t>
  </si>
  <si>
    <t>Manifest.aimId</t>
  </si>
  <si>
    <t>CDM - AMS-II.O.</t>
  </si>
  <si>
    <t>Manifest.claimId</t>
  </si>
  <si>
    <t>CDM - AMS-II.P.</t>
  </si>
  <si>
    <t>Manifest.projectDeveloperId</t>
  </si>
  <si>
    <t>CDM - AMS-II.Q.</t>
  </si>
  <si>
    <t>Manifest.created</t>
  </si>
  <si>
    <t>CDM - AMS-II.R.</t>
  </si>
  <si>
    <t>Manifest.mrvExtensions</t>
  </si>
  <si>
    <t>CDM - AMS-II.S.</t>
  </si>
  <si>
    <t>Manifest.sdpFiles</t>
  </si>
  <si>
    <t>CDM - AMS-II.T.</t>
  </si>
  <si>
    <t>MitigationActivity.category</t>
  </si>
  <si>
    <t>CDM - AMS-III.A.</t>
  </si>
  <si>
    <t>MitigationActivity.method</t>
  </si>
  <si>
    <t>CDM - AMS-III.B.</t>
  </si>
  <si>
    <t>MrvExtension.mrvExtensionContext</t>
  </si>
  <si>
    <t>CDM - AMS-III.C.</t>
  </si>
  <si>
    <t>MrvExtension.typedExtension</t>
  </si>
  <si>
    <t>CDM - AMS-III.D.</t>
  </si>
  <si>
    <t>MrvExtension.untypedExtension</t>
  </si>
  <si>
    <t>CDM - AMS-III.E.</t>
  </si>
  <si>
    <t>MrvExtension.extensionCase</t>
  </si>
  <si>
    <t>CDM - AMS-III.F.</t>
  </si>
  <si>
    <t>PACompliance.ca</t>
  </si>
  <si>
    <t>CDM - AMS-III.G.</t>
  </si>
  <si>
    <t>PACompliance.letterOfApproval</t>
  </si>
  <si>
    <t>CDM - AMS-III.H.</t>
  </si>
  <si>
    <t>PrecisionMix.low</t>
  </si>
  <si>
    <t>CDM - AMS-III.I.</t>
  </si>
  <si>
    <t>PrecisionMix.medium</t>
  </si>
  <si>
    <t>CDM - AMS-III.J.</t>
  </si>
  <si>
    <t>PrecisionMix.high</t>
  </si>
  <si>
    <t>CDM - AMS-III.K.</t>
  </si>
  <si>
    <t>ProcessedClaim.id</t>
  </si>
  <si>
    <t>CDM - AMS-III.L.</t>
  </si>
  <si>
    <t>ProcessedClaim.vpaId</t>
  </si>
  <si>
    <t>CDM - AMS-III.M.</t>
  </si>
  <si>
    <t>ProcessedClaim.impactClaimId</t>
  </si>
  <si>
    <t>CDM - AMS-III.N.</t>
  </si>
  <si>
    <t>ProcessedClaim.creditId</t>
  </si>
  <si>
    <t>CDM - AMS-III.O.</t>
  </si>
  <si>
    <t>ProcessedClaim.unit</t>
  </si>
  <si>
    <t>CDM - AMS-III.P.</t>
  </si>
  <si>
    <t>ProcessedClaim.quantity</t>
  </si>
  <si>
    <t>CDM - AMS-III.Q.</t>
  </si>
  <si>
    <t>ProcessedClaim.coBenefits</t>
  </si>
  <si>
    <t>CDM - AMS-III.R.</t>
  </si>
  <si>
    <t>ProcessedClaim.mrvExtensions</t>
  </si>
  <si>
    <t>CDM - AMS-III.S.</t>
  </si>
  <si>
    <t>ProcessedClaim.checkpointResults</t>
  </si>
  <si>
    <t>CDM - AMS-III.T.</t>
  </si>
  <si>
    <t>ProcessedClaim.issuanceRequest</t>
  </si>
  <si>
    <t>CDM - AMS-III.U.</t>
  </si>
  <si>
    <t>ProcessedClaim.verificationProcessAgreement</t>
  </si>
  <si>
    <t>CDM - AMS-III.V.</t>
  </si>
  <si>
    <t>ProcessedClaim.impactClaim</t>
  </si>
  <si>
    <t>CDM - AMS-III.W.</t>
  </si>
  <si>
    <t>ProcessedClaim.asset</t>
  </si>
  <si>
    <t>CDM - AMS-III.X.</t>
  </si>
  <si>
    <t>Proof.type</t>
  </si>
  <si>
    <t>CDM - AMS-III.Y.</t>
  </si>
  <si>
    <t>Proof.created</t>
  </si>
  <si>
    <t>CDM - AMS-III.Z.</t>
  </si>
  <si>
    <t>Proof.proofPurpose</t>
  </si>
  <si>
    <t>CDM - AMS-III.AA.</t>
  </si>
  <si>
    <t>Proof.verificationMethod</t>
  </si>
  <si>
    <t>CDM - AMS-III.AB.</t>
  </si>
  <si>
    <t>Proof.challenge</t>
  </si>
  <si>
    <t>CDM - AMS-III.AC.</t>
  </si>
  <si>
    <t>Proof.domain</t>
  </si>
  <si>
    <t>CDM - AMS-III.AD.</t>
  </si>
  <si>
    <t>Proof.jws</t>
  </si>
  <si>
    <t>CDM - AMS-III.AE.</t>
  </si>
  <si>
    <t>QualityStandard.name</t>
  </si>
  <si>
    <t>CDM - AMS-III.AF.</t>
  </si>
  <si>
    <t>QualityStandard.description</t>
  </si>
  <si>
    <t>CDM - AMS-III.AG.</t>
  </si>
  <si>
    <t>QualityStandard.standard</t>
  </si>
  <si>
    <t>CDM - AMS-III.AH.</t>
  </si>
  <si>
    <t>CDM - AMS-III.AI.</t>
  </si>
  <si>
    <t>QualityStandard.version</t>
  </si>
  <si>
    <t>CDM - AMS-III.AJ.</t>
  </si>
  <si>
    <t>QualityStandard.coBenefits</t>
  </si>
  <si>
    <t>CDM - AMS-III.AK.</t>
  </si>
  <si>
    <t>QualityStandard.standardLink</t>
  </si>
  <si>
    <t>CDM - AMS-III.AL.</t>
  </si>
  <si>
    <t>REC.id</t>
  </si>
  <si>
    <t>CDM - AMS-III.AM.</t>
  </si>
  <si>
    <t>REC.recType</t>
  </si>
  <si>
    <t>CDM - AMS-III.AN.</t>
  </si>
  <si>
    <t>REC.validJurisdiction</t>
  </si>
  <si>
    <t>CDM - AMS-III.AO.</t>
  </si>
  <si>
    <t>REC.quantity</t>
  </si>
  <si>
    <t>CDM - AMS-III.AP.</t>
  </si>
  <si>
    <t>REC.unit</t>
  </si>
  <si>
    <t>CDM - AMS-III.AQ.</t>
  </si>
  <si>
    <t>REC.ownerId</t>
  </si>
  <si>
    <t>CDM - AMS-III.AR.</t>
  </si>
  <si>
    <t>REC.listingAgentId</t>
  </si>
  <si>
    <t>CDM - AMS-III.AS.</t>
  </si>
  <si>
    <t>REC.climateLabels</t>
  </si>
  <si>
    <t>CDM - AMS-III.AT.</t>
  </si>
  <si>
    <t>REC.status</t>
  </si>
  <si>
    <t>CDM - AMS-III.AU.</t>
  </si>
  <si>
    <t>REC.referencedRec</t>
  </si>
  <si>
    <t>CDM - AMS-III.AV.</t>
  </si>
  <si>
    <t>REC.appliedToId</t>
  </si>
  <si>
    <t>CDM - AMS-III.AW.</t>
  </si>
  <si>
    <t>REC.processedClaimId</t>
  </si>
  <si>
    <t>CDM - AMS-III.AX.</t>
  </si>
  <si>
    <t>REC.issuerId</t>
  </si>
  <si>
    <t>CDM - AMS-III.AY.</t>
  </si>
  <si>
    <t>REC.processedClaim</t>
  </si>
  <si>
    <t>CDM - AMS-III.BA.</t>
  </si>
  <si>
    <t>ReferencedCredit.id</t>
  </si>
  <si>
    <t>CDM - AMS-III.BB.</t>
  </si>
  <si>
    <t>ReferencedRec.id</t>
  </si>
  <si>
    <t>CDM - AMS-III.BC.</t>
  </si>
  <si>
    <t>Replacement.replacesId</t>
  </si>
  <si>
    <t>CDM - AMS-III.BD.</t>
  </si>
  <si>
    <t>Replacement.replacementDate</t>
  </si>
  <si>
    <t>CDM - AMS-III.BE.</t>
  </si>
  <si>
    <t>Replacement.notes</t>
  </si>
  <si>
    <t>CDM - AMS-III.BF.</t>
  </si>
  <si>
    <t>ReversalMitigation.reversalRisk</t>
  </si>
  <si>
    <t>CDM - AMS-III.BG.</t>
  </si>
  <si>
    <t>ReversalMitigation.insuranceType</t>
  </si>
  <si>
    <t>CDM - AMS-III.BH.</t>
  </si>
  <si>
    <t>ReversalMitigation.insurancePolicyOwner</t>
  </si>
  <si>
    <t>CDM - AMS-III.BI.</t>
  </si>
  <si>
    <t>ReversalMitigation.insurancePolicyLink</t>
  </si>
  <si>
    <t>CDM - AMS-III.BJ.</t>
  </si>
  <si>
    <t>SdpFile.name</t>
  </si>
  <si>
    <t>CDM - AMS-III.BK.</t>
  </si>
  <si>
    <t>SdpFile.type</t>
  </si>
  <si>
    <t>CDM - AMS-III.BL.</t>
  </si>
  <si>
    <t>SdpFile.description</t>
  </si>
  <si>
    <t>CDM - AMS-III.BM.</t>
  </si>
  <si>
    <t>SdpFile.claimSourceId</t>
  </si>
  <si>
    <t>CDM - AMS-III.BN.</t>
  </si>
  <si>
    <t>SdpFile.claimSourceAttestation</t>
  </si>
  <si>
    <t>CDM - AMS-III.BO.</t>
  </si>
  <si>
    <t>SdpFile.mrvExtensions</t>
  </si>
  <si>
    <t>CDM - AMS-III.BP.</t>
  </si>
  <si>
    <t>Signatory.id</t>
  </si>
  <si>
    <t>CDM - AR-AM0014</t>
  </si>
  <si>
    <t>Signatory.name</t>
  </si>
  <si>
    <t xml:space="preserve">CDM - AR-AMS0003 </t>
  </si>
  <si>
    <t>Signatory.description</t>
  </si>
  <si>
    <t>CDM - AR-AMS0007</t>
  </si>
  <si>
    <t>Signatory.signatoryRole</t>
  </si>
  <si>
    <t>Signatory.signature</t>
  </si>
  <si>
    <t>CDM - ACM0002</t>
  </si>
  <si>
    <t>SpanDataPackage.manifest</t>
  </si>
  <si>
    <t>CDM - ACM0003</t>
  </si>
  <si>
    <t>Tag.name</t>
  </si>
  <si>
    <t>CDM - ACM0004</t>
  </si>
  <si>
    <t>Tag.context</t>
  </si>
  <si>
    <t>CDM - ACM0005</t>
  </si>
  <si>
    <t>Tag.description</t>
  </si>
  <si>
    <t>CDM - ACM0006</t>
  </si>
  <si>
    <t>Tag.data</t>
  </si>
  <si>
    <t>CDM - ACM0007</t>
  </si>
  <si>
    <t>Timestamp.seconds</t>
  </si>
  <si>
    <t>CDM - ACM0008</t>
  </si>
  <si>
    <t>Timestamp.nanos</t>
  </si>
  <si>
    <t>CDM - ACM0009</t>
  </si>
  <si>
    <t>TypedExtension.dataSchema</t>
  </si>
  <si>
    <t>CDM - ACM0010</t>
  </si>
  <si>
    <t>TypedExtension.documentation</t>
  </si>
  <si>
    <t>CDM - ACM0011</t>
  </si>
  <si>
    <t>TypedExtension.data</t>
  </si>
  <si>
    <t>CDM - ACM0012</t>
  </si>
  <si>
    <t>UntypedExtension.name</t>
  </si>
  <si>
    <t>CDM - ACM0013</t>
  </si>
  <si>
    <t>UntypedExtension.version</t>
  </si>
  <si>
    <t>CDM - ACM0014</t>
  </si>
  <si>
    <t>UntypedExtension.description</t>
  </si>
  <si>
    <t>CDM - ACM0015</t>
  </si>
  <si>
    <t>UntypedExtension.documentation</t>
  </si>
  <si>
    <t>CDM - ACM0016</t>
  </si>
  <si>
    <t>UntypedExtension.dataExtensions</t>
  </si>
  <si>
    <t>CDM - ACM0017</t>
  </si>
  <si>
    <t>Validation.validationDate</t>
  </si>
  <si>
    <t>CDM - ACM0018</t>
  </si>
  <si>
    <t>Validation.validatingPartyId</t>
  </si>
  <si>
    <t>CDM - ACM0019</t>
  </si>
  <si>
    <t>Validation.validationMethod</t>
  </si>
  <si>
    <t>CDM - ACM0020</t>
  </si>
  <si>
    <t>Validation.validationExpirationDate</t>
  </si>
  <si>
    <t>CDM - ACM0021</t>
  </si>
  <si>
    <t>Validation.validationSteps</t>
  </si>
  <si>
    <t>CDM - ACM0022</t>
  </si>
  <si>
    <t>ValidationStep.validationStepName</t>
  </si>
  <si>
    <t>CDM - ACM0023</t>
  </si>
  <si>
    <t>ValidationStep.validationStepDescription</t>
  </si>
  <si>
    <t>CDM - ACM0024</t>
  </si>
  <si>
    <t>ValidationStep.validationStepStatus</t>
  </si>
  <si>
    <t>CDM - ACM0025</t>
  </si>
  <si>
    <t>ValidationStep.validationStepDocumentLink</t>
  </si>
  <si>
    <t>CDM - ACM0026</t>
  </si>
  <si>
    <t>VerificationProcessAgreement.id</t>
  </si>
  <si>
    <t>CDM - TOOL 1</t>
  </si>
  <si>
    <t>VerificationProcessAgreement.name</t>
  </si>
  <si>
    <t>CDM - TOOL 2</t>
  </si>
  <si>
    <t>VerificationProcessAgreement.description</t>
  </si>
  <si>
    <t>CDM - TOOL 3</t>
  </si>
  <si>
    <t>VerificationProcessAgreement.signatories</t>
  </si>
  <si>
    <t>CDM - TOOL 4</t>
  </si>
  <si>
    <t>VerificationProcessAgreement.qualityStandard</t>
  </si>
  <si>
    <t>CDM - TOOL 5</t>
  </si>
  <si>
    <t>VerificationProcessAgreement.mrvRequirements</t>
  </si>
  <si>
    <t>CDM - TOOL 6</t>
  </si>
  <si>
    <t>VerificationProcessAgreement.agreementDate</t>
  </si>
  <si>
    <t>CDM - TOOL 7</t>
  </si>
  <si>
    <t>VerificationProcessAgreement.estimatedAnnualCredits</t>
  </si>
  <si>
    <t>CDM - TOOL 8</t>
  </si>
  <si>
    <t>VerificationProcessAgreement.aimId</t>
  </si>
  <si>
    <t>CDM - TOOL 9</t>
  </si>
  <si>
    <t>VerificationProcessAgreement.auditSchedule</t>
  </si>
  <si>
    <t>CDM - TOOL 10</t>
  </si>
  <si>
    <t>VerificationProcessAgreement.audits</t>
  </si>
  <si>
    <t>CDM - TOOL 11</t>
  </si>
  <si>
    <t>VerificationProcessAgreement.activityImpactModule</t>
  </si>
  <si>
    <t>CDM - TOOL 12</t>
  </si>
  <si>
    <t>VerificationProcessAgreement.processedClaims</t>
  </si>
  <si>
    <t>CDM - TOOL 13</t>
  </si>
  <si>
    <t>VerifiedLink.id</t>
  </si>
  <si>
    <t>CDM - TOOL 14</t>
  </si>
  <si>
    <t>VerifiedLink.uri</t>
  </si>
  <si>
    <t>CDM - TOOL 15</t>
  </si>
  <si>
    <t>VerifiedLink.description</t>
  </si>
  <si>
    <t>CDM - TOOL 16</t>
  </si>
  <si>
    <t>VerifiedLink.hashProof</t>
  </si>
  <si>
    <t>CDM - TOOL 17</t>
  </si>
  <si>
    <t>VerifiedLink.hashAlgorithm</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</si>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</sst>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
    <numFmt numFmtId="165" formatCode="_(* #,##0_);_(* \(#,##0\);_(* &quot;-&quot;??_);_(@_)"/>
  </numFmts>
  <fonts count="42">
    <font>
      <sz val="11"/>
      <color theme="1"/>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u/>
      <sz val="11"/>
      <color theme="10"/>
      <name val="Calibri"/>
      <family val="2"/>
      <scheme val="minor"/>
    </font>
    <font>
      <sz val="11"/>
      <color theme="1"/>
      <name val="Calibri (Body)"/>
    </font>
    <font>
      <vertAlign val="subscript"/>
      <sz val="11"/>
      <color theme="1"/>
      <name val="Calibri (Body)"/>
    </font>
    <font>
      <i/>
      <sz val="11"/>
      <color theme="1"/>
      <name val="Calibri (Body)"/>
    </font>
    <font>
      <i/>
      <vertAlign val="subscript"/>
      <sz val="11"/>
      <color theme="1"/>
      <name val="Calibri (Body)"/>
    </font>
    <font>
      <i/>
      <sz val="11"/>
      <color theme="1"/>
      <name val="Calibri"/>
      <family val="2"/>
      <scheme val="minor"/>
    </font>
    <font>
      <b/>
      <sz val="12"/>
      <color theme="1"/>
      <name val="Calibri"/>
      <family val="2"/>
      <scheme val="minor"/>
    </font>
    <font>
      <b/>
      <sz val="14"/>
      <color rgb="FF000000"/>
      <name val="Calibri"/>
      <family val="2"/>
      <scheme val="minor"/>
    </font>
    <font>
      <sz val="14"/>
      <color rgb="FF00000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0"/>
      <name val="Arial"/>
      <family val="2"/>
    </font>
    <font>
      <sz val="11"/>
      <name val="Calibri"/>
      <family val="2"/>
      <scheme val="minor"/>
    </font>
    <font>
      <b/>
      <sz val="16"/>
      <color rgb="FF000000"/>
      <name val="Calibri"/>
      <family val="2"/>
      <scheme val="minor"/>
    </font>
    <font>
      <sz val="18"/>
      <color theme="1"/>
      <name val="Calibri"/>
      <family val="2"/>
      <scheme val="minor"/>
    </font>
    <font>
      <vertAlign val="subscript"/>
      <sz val="18"/>
      <color theme="1"/>
      <name val="Calibri"/>
      <family val="2"/>
      <scheme val="minor"/>
    </font>
    <font>
      <b/>
      <u/>
      <sz val="11"/>
      <color rgb="FF000000"/>
      <name val="Calibri"/>
      <family val="2"/>
      <scheme val="minor"/>
    </font>
    <font>
      <i/>
      <sz val="16"/>
      <color rgb="FF000000"/>
      <name val="Calibri"/>
      <family val="2"/>
      <scheme val="minor"/>
    </font>
    <font>
      <sz val="12"/>
      <color rgb="FF000000"/>
      <name val="Calibri"/>
      <family val="2"/>
      <scheme val="minor"/>
    </font>
    <font>
      <sz val="18"/>
      <color rgb="FF000000"/>
      <name val="Calibri"/>
      <family val="2"/>
      <scheme val="minor"/>
    </font>
    <font>
      <b/>
      <sz val="12"/>
      <color rgb="FF000000"/>
      <name val="Calibri"/>
      <family val="2"/>
      <scheme val="minor"/>
    </font>
    <font>
      <sz val="16"/>
      <color rgb="FF000000"/>
      <name val="Calibri"/>
      <family val="2"/>
      <scheme val="minor"/>
    </font>
    <font>
      <b/>
      <sz val="16"/>
      <color rgb="FF000000"/>
      <name val="Calibri"/>
      <family val="2"/>
    </font>
    <font>
      <b/>
      <i/>
      <u/>
      <sz val="16"/>
      <color rgb="FF000000"/>
      <name val="Calibri"/>
      <family val="2"/>
    </font>
    <font>
      <sz val="11"/>
      <color rgb="FF000000"/>
      <name val="Calibri"/>
      <family val="2"/>
    </font>
    <font>
      <sz val="20"/>
      <color theme="1"/>
      <name val="Calibri"/>
      <family val="2"/>
      <scheme val="minor"/>
    </font>
    <font>
      <vertAlign val="superscript"/>
      <sz val="11"/>
      <color theme="1"/>
      <name val="Calibri"/>
      <family val="2"/>
      <scheme val="minor"/>
    </font>
    <font>
      <b/>
      <i/>
      <sz val="11"/>
      <color theme="1"/>
      <name val="Calibri"/>
      <family val="2"/>
      <scheme val="minor"/>
    </font>
    <font>
      <b/>
      <sz val="15"/>
      <color theme="1"/>
      <name val="Calibri"/>
      <family val="2"/>
      <scheme val="minor"/>
    </font>
    <font>
      <u/>
      <sz val="11"/>
      <color theme="1"/>
      <name val="Calibri"/>
      <family val="2"/>
      <scheme val="minor"/>
    </font>
    <font>
      <sz val="11"/>
      <color theme="1"/>
      <name val="Calibri"/>
      <family val="2"/>
    </font>
    <font>
      <u/>
      <sz val="11"/>
      <color rgb="FF0563C1"/>
      <name val="Calibri"/>
      <family val="2"/>
    </font>
    <font>
      <sz val="11"/>
      <color theme="1"/>
      <name val="Calibri"/>
      <family val="2"/>
      <scheme val="minor"/>
    </font>
    <font>
      <vertAlign val="subscript"/>
      <sz val="20"/>
      <color theme="1"/>
      <name val="Calibri"/>
      <family val="2"/>
      <scheme val="minor"/>
    </font>
    <font>
      <b/>
      <u/>
      <sz val="11"/>
      <color theme="1"/>
      <name val="Calibri"/>
      <family val="2"/>
      <scheme val="minor"/>
    </font>
    <font>
      <sz val="18"/>
      <color rgb="FF000000"/>
      <name val="Calibri"/>
      <family val="2"/>
    </font>
    <font>
      <vertAlign val="subscript"/>
      <sz val="18"/>
      <color rgb="FF000000"/>
      <name val="Calibri"/>
      <family val="2"/>
    </font>
  </fonts>
  <fills count="1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theme="0" tint="-0.249977111117893"/>
        <bgColor rgb="FF000000"/>
      </patternFill>
    </fill>
    <fill>
      <patternFill patternType="solid">
        <fgColor theme="9" tint="0.79998168889431442"/>
        <bgColor indexed="64"/>
      </patternFill>
    </fill>
    <fill>
      <patternFill patternType="solid">
        <fgColor rgb="FFBFBFBF"/>
        <bgColor rgb="FF000000"/>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50"/>
        <bgColor indexed="64"/>
      </patternFill>
    </fill>
    <fill>
      <patternFill patternType="solid">
        <fgColor theme="2" tint="-9.9978637043366805E-2"/>
        <bgColor indexed="64"/>
      </patternFill>
    </fill>
  </fills>
  <borders count="2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4" fillId="0" borderId="0" applyNumberFormat="0" applyFill="0" applyBorder="0" applyAlignment="0" applyProtection="0"/>
    <xf numFmtId="0" fontId="16" fillId="0" borderId="0"/>
    <xf numFmtId="0" fontId="37" fillId="0" borderId="0"/>
    <xf numFmtId="43" fontId="37" fillId="0" borderId="0" applyFont="0" applyFill="0" applyBorder="0" applyAlignment="0" applyProtection="0"/>
  </cellStyleXfs>
  <cellXfs count="185">
    <xf numFmtId="0" fontId="0" fillId="0" borderId="0" xfId="0"/>
    <xf numFmtId="0" fontId="2" fillId="0" borderId="0" xfId="0" applyFont="1"/>
    <xf numFmtId="0" fontId="2" fillId="0" borderId="0" xfId="0" applyFont="1" applyAlignment="1">
      <alignment horizontal="left"/>
    </xf>
    <xf numFmtId="0" fontId="2" fillId="2" borderId="0" xfId="0" applyFont="1" applyFill="1" applyAlignment="1">
      <alignment horizontal="left"/>
    </xf>
    <xf numFmtId="0" fontId="3" fillId="2" borderId="0" xfId="0" applyFont="1" applyFill="1" applyAlignment="1">
      <alignment horizontal="left"/>
    </xf>
    <xf numFmtId="0" fontId="0" fillId="2" borderId="0" xfId="0" applyFill="1"/>
    <xf numFmtId="0" fontId="0" fillId="0" borderId="0" xfId="0" applyAlignment="1">
      <alignment wrapText="1"/>
    </xf>
    <xf numFmtId="0" fontId="0" fillId="0" borderId="0" xfId="0" applyAlignment="1">
      <alignment horizontal="left"/>
    </xf>
    <xf numFmtId="0" fontId="0" fillId="3" borderId="0" xfId="0" applyFill="1"/>
    <xf numFmtId="0" fontId="0" fillId="3" borderId="0" xfId="0" applyFill="1" applyAlignment="1">
      <alignment wrapText="1"/>
    </xf>
    <xf numFmtId="0" fontId="0" fillId="3" borderId="0" xfId="0" applyFill="1" applyAlignment="1">
      <alignment horizontal="left"/>
    </xf>
    <xf numFmtId="0" fontId="5" fillId="3" borderId="0" xfId="0" applyFont="1" applyFill="1" applyAlignment="1">
      <alignment wrapText="1"/>
    </xf>
    <xf numFmtId="0" fontId="7" fillId="3" borderId="0" xfId="0" applyFont="1" applyFill="1"/>
    <xf numFmtId="0" fontId="9" fillId="3" borderId="0" xfId="0" applyFont="1" applyFill="1"/>
    <xf numFmtId="0" fontId="9" fillId="0" borderId="0" xfId="0" applyFont="1"/>
    <xf numFmtId="0" fontId="5" fillId="0" borderId="0" xfId="0" applyFont="1" applyAlignment="1">
      <alignment wrapText="1"/>
    </xf>
    <xf numFmtId="0" fontId="0" fillId="3" borderId="0" xfId="0" applyFill="1" applyAlignment="1">
      <alignment horizontal="left" wrapText="1"/>
    </xf>
    <xf numFmtId="0" fontId="0" fillId="3" borderId="0" xfId="0" quotePrefix="1" applyFill="1" applyAlignment="1">
      <alignment horizontal="left" wrapText="1"/>
    </xf>
    <xf numFmtId="3" fontId="0" fillId="3" borderId="0" xfId="0" applyNumberFormat="1" applyFill="1" applyAlignment="1">
      <alignment horizontal="left"/>
    </xf>
    <xf numFmtId="2" fontId="0" fillId="3" borderId="0" xfId="0" applyNumberFormat="1" applyFill="1" applyAlignment="1">
      <alignment horizontal="left"/>
    </xf>
    <xf numFmtId="164" fontId="0" fillId="3" borderId="0" xfId="0" applyNumberFormat="1" applyFill="1" applyAlignment="1">
      <alignment horizontal="left"/>
    </xf>
    <xf numFmtId="0" fontId="5" fillId="3" borderId="0" xfId="0" applyFont="1" applyFill="1" applyAlignment="1">
      <alignment horizontal="left" wrapText="1"/>
    </xf>
    <xf numFmtId="0" fontId="6" fillId="0" borderId="0" xfId="0" applyFont="1"/>
    <xf numFmtId="0" fontId="0" fillId="3" borderId="0" xfId="0" quotePrefix="1" applyFill="1" applyAlignment="1">
      <alignment horizontal="left"/>
    </xf>
    <xf numFmtId="0" fontId="11" fillId="0" borderId="0" xfId="0" applyFont="1"/>
    <xf numFmtId="0" fontId="11" fillId="0" borderId="0" xfId="0" applyFont="1" applyAlignment="1">
      <alignment horizontal="left"/>
    </xf>
    <xf numFmtId="0" fontId="11" fillId="4" borderId="0" xfId="0" applyFont="1" applyFill="1" applyAlignment="1">
      <alignment horizontal="left"/>
    </xf>
    <xf numFmtId="0" fontId="12" fillId="4" borderId="0" xfId="0" applyFont="1" applyFill="1" applyAlignment="1">
      <alignment horizontal="left"/>
    </xf>
    <xf numFmtId="0" fontId="0" fillId="5" borderId="0" xfId="0" applyFill="1"/>
    <xf numFmtId="0" fontId="0" fillId="5" borderId="0" xfId="0" applyFill="1" applyAlignment="1">
      <alignment wrapText="1"/>
    </xf>
    <xf numFmtId="0" fontId="14" fillId="0" borderId="0" xfId="0" applyFont="1" applyAlignment="1">
      <alignment horizontal="left"/>
    </xf>
    <xf numFmtId="0" fontId="17" fillId="3" borderId="0" xfId="2" applyFont="1" applyFill="1" applyAlignment="1">
      <alignment vertical="top" wrapText="1"/>
    </xf>
    <xf numFmtId="10" fontId="0" fillId="0" borderId="0" xfId="0" applyNumberFormat="1" applyAlignment="1">
      <alignment horizontal="left"/>
    </xf>
    <xf numFmtId="4" fontId="0" fillId="0" borderId="0" xfId="0" applyNumberFormat="1" applyAlignment="1">
      <alignment horizontal="left"/>
    </xf>
    <xf numFmtId="3" fontId="0" fillId="0" borderId="0" xfId="0" applyNumberFormat="1" applyAlignment="1">
      <alignment horizontal="left"/>
    </xf>
    <xf numFmtId="0" fontId="14" fillId="3" borderId="0" xfId="0" applyFont="1" applyFill="1" applyAlignment="1">
      <alignment horizontal="left" wrapText="1"/>
    </xf>
    <xf numFmtId="0" fontId="14" fillId="3" borderId="0" xfId="0" applyFont="1" applyFill="1" applyAlignment="1">
      <alignment horizontal="left"/>
    </xf>
    <xf numFmtId="0" fontId="11" fillId="0" borderId="0" xfId="0" applyFont="1" applyAlignment="1">
      <alignment wrapText="1"/>
    </xf>
    <xf numFmtId="0" fontId="11" fillId="0" borderId="0" xfId="0" applyFont="1" applyAlignment="1">
      <alignment horizontal="left" wrapText="1"/>
    </xf>
    <xf numFmtId="0" fontId="19" fillId="3" borderId="0" xfId="0" applyFont="1" applyFill="1" applyAlignment="1">
      <alignment horizontal="center" vertical="center"/>
    </xf>
    <xf numFmtId="0" fontId="0" fillId="3" borderId="0" xfId="0" applyFill="1" applyAlignment="1">
      <alignment horizontal="left" vertical="center" wrapText="1"/>
    </xf>
    <xf numFmtId="0" fontId="19" fillId="0" borderId="0" xfId="0" applyFont="1"/>
    <xf numFmtId="0" fontId="0" fillId="0" borderId="0" xfId="0" applyAlignment="1">
      <alignment horizontal="left" vertical="center" wrapText="1"/>
    </xf>
    <xf numFmtId="0" fontId="0" fillId="5" borderId="0" xfId="0" applyFill="1" applyAlignment="1">
      <alignment horizontal="left" vertical="center" wrapText="1"/>
    </xf>
    <xf numFmtId="0" fontId="14" fillId="5" borderId="0" xfId="0" applyFont="1" applyFill="1" applyAlignment="1">
      <alignment wrapText="1"/>
    </xf>
    <xf numFmtId="0" fontId="19" fillId="0" borderId="0" xfId="0" applyFont="1" applyAlignment="1">
      <alignment horizontal="center" vertical="center"/>
    </xf>
    <xf numFmtId="0" fontId="19" fillId="3" borderId="0" xfId="0" applyFont="1" applyFill="1"/>
    <xf numFmtId="0" fontId="0" fillId="3" borderId="0" xfId="0" applyFill="1" applyAlignment="1">
      <alignment vertical="center" wrapText="1"/>
    </xf>
    <xf numFmtId="0" fontId="0" fillId="0" borderId="0" xfId="0" applyAlignment="1">
      <alignment horizontal="center" vertical="center"/>
    </xf>
    <xf numFmtId="0" fontId="0" fillId="5" borderId="0" xfId="0" applyFill="1" applyAlignment="1">
      <alignment horizontal="center" vertical="center"/>
    </xf>
    <xf numFmtId="0" fontId="23" fillId="7" borderId="0" xfId="0" applyFont="1" applyFill="1" applyAlignment="1">
      <alignment horizontal="left" vertical="center" wrapText="1"/>
    </xf>
    <xf numFmtId="0" fontId="24" fillId="7" borderId="0" xfId="0" applyFont="1" applyFill="1" applyAlignment="1">
      <alignment horizontal="center" vertical="center" wrapText="1"/>
    </xf>
    <xf numFmtId="0" fontId="25" fillId="7" borderId="0" xfId="0" applyFont="1" applyFill="1" applyAlignment="1">
      <alignment horizontal="left" vertical="center" wrapText="1"/>
    </xf>
    <xf numFmtId="0" fontId="26" fillId="7" borderId="0" xfId="0" applyFont="1" applyFill="1" applyAlignment="1">
      <alignment horizontal="center" vertical="center" wrapText="1"/>
    </xf>
    <xf numFmtId="0" fontId="14" fillId="7" borderId="0" xfId="0" applyFont="1" applyFill="1" applyAlignment="1">
      <alignment horizontal="left" vertical="center" wrapText="1"/>
    </xf>
    <xf numFmtId="0" fontId="15" fillId="7" borderId="0" xfId="0" applyFont="1" applyFill="1" applyAlignment="1">
      <alignment horizontal="left" vertical="center" wrapText="1"/>
    </xf>
    <xf numFmtId="0" fontId="14" fillId="7" borderId="0" xfId="0" applyFont="1" applyFill="1" applyAlignment="1">
      <alignment horizontal="left" vertical="center"/>
    </xf>
    <xf numFmtId="0" fontId="14" fillId="7" borderId="0" xfId="0" applyFont="1" applyFill="1"/>
    <xf numFmtId="0" fontId="3" fillId="7" borderId="0" xfId="0" applyFont="1" applyFill="1" applyAlignment="1">
      <alignment vertical="center" wrapText="1"/>
    </xf>
    <xf numFmtId="0" fontId="0" fillId="7" borderId="0" xfId="0" applyFill="1" applyAlignment="1">
      <alignment vertical="center" wrapText="1"/>
    </xf>
    <xf numFmtId="0" fontId="0" fillId="7" borderId="0" xfId="0" applyFill="1" applyAlignment="1">
      <alignment horizontal="center" vertical="center"/>
    </xf>
    <xf numFmtId="0" fontId="14" fillId="0" borderId="0" xfId="0" applyFont="1" applyAlignment="1">
      <alignment horizontal="left" vertical="center"/>
    </xf>
    <xf numFmtId="0" fontId="14" fillId="0" borderId="0" xfId="0" applyFont="1"/>
    <xf numFmtId="0" fontId="3" fillId="0" borderId="0" xfId="0" applyFont="1" applyAlignment="1">
      <alignment vertical="center" wrapText="1"/>
    </xf>
    <xf numFmtId="0" fontId="0" fillId="0" borderId="0" xfId="0" applyAlignment="1">
      <alignment vertical="center" wrapText="1"/>
    </xf>
    <xf numFmtId="0" fontId="0" fillId="0" borderId="0" xfId="0" applyAlignment="1">
      <alignment vertical="center"/>
    </xf>
    <xf numFmtId="0" fontId="13" fillId="7" borderId="0" xfId="0" applyFont="1" applyFill="1" applyAlignment="1">
      <alignment horizontal="center" vertical="center"/>
    </xf>
    <xf numFmtId="0" fontId="3" fillId="7" borderId="0" xfId="0" applyFont="1" applyFill="1" applyAlignment="1">
      <alignment horizontal="left" vertical="center" wrapText="1"/>
    </xf>
    <xf numFmtId="0" fontId="0" fillId="7" borderId="0" xfId="0" applyFill="1" applyAlignment="1">
      <alignment horizontal="left"/>
    </xf>
    <xf numFmtId="0" fontId="29" fillId="7" borderId="0" xfId="0" applyFont="1" applyFill="1" applyAlignment="1">
      <alignment vertical="center" wrapText="1"/>
    </xf>
    <xf numFmtId="0" fontId="0" fillId="7" borderId="0" xfId="0" applyFill="1" applyAlignment="1">
      <alignment vertical="center"/>
    </xf>
    <xf numFmtId="0" fontId="30" fillId="0" borderId="0" xfId="0" applyFont="1" applyAlignment="1">
      <alignment horizontal="center" vertical="center"/>
    </xf>
    <xf numFmtId="0" fontId="0" fillId="8" borderId="0" xfId="0" applyFill="1"/>
    <xf numFmtId="0" fontId="0" fillId="0" borderId="0" xfId="0" applyAlignment="1">
      <alignment horizontal="left" wrapText="1"/>
    </xf>
    <xf numFmtId="0" fontId="13" fillId="0" borderId="0" xfId="0" applyFont="1" applyAlignment="1">
      <alignment horizontal="center"/>
    </xf>
    <xf numFmtId="9" fontId="0" fillId="3" borderId="0" xfId="0" applyNumberFormat="1" applyFill="1"/>
    <xf numFmtId="0" fontId="13" fillId="0" borderId="0" xfId="0" applyFont="1" applyAlignment="1">
      <alignment horizontal="center" wrapText="1"/>
    </xf>
    <xf numFmtId="0" fontId="2" fillId="8" borderId="0" xfId="0" applyFont="1" applyFill="1"/>
    <xf numFmtId="0" fontId="0" fillId="3" borderId="1" xfId="0" applyFill="1" applyBorder="1"/>
    <xf numFmtId="0" fontId="32" fillId="0" borderId="0" xfId="0" applyFont="1" applyAlignment="1">
      <alignment horizontal="center"/>
    </xf>
    <xf numFmtId="0" fontId="13" fillId="0" borderId="0" xfId="0" applyFont="1"/>
    <xf numFmtId="0" fontId="32" fillId="0" borderId="0" xfId="0" applyFont="1"/>
    <xf numFmtId="0" fontId="13" fillId="8" borderId="0" xfId="0" applyFont="1" applyFill="1" applyAlignment="1">
      <alignment wrapText="1"/>
    </xf>
    <xf numFmtId="0" fontId="13" fillId="8" borderId="0" xfId="0" applyFont="1" applyFill="1"/>
    <xf numFmtId="0" fontId="33" fillId="0" borderId="2" xfId="0" applyFont="1" applyBorder="1"/>
    <xf numFmtId="0" fontId="33" fillId="0" borderId="4" xfId="0" applyFont="1" applyBorder="1" applyAlignment="1">
      <alignment wrapText="1"/>
    </xf>
    <xf numFmtId="0" fontId="33" fillId="3" borderId="3" xfId="0" applyFont="1" applyFill="1" applyBorder="1"/>
    <xf numFmtId="0" fontId="33" fillId="0" borderId="0" xfId="0" applyFont="1"/>
    <xf numFmtId="0" fontId="4" fillId="0" borderId="0" xfId="1" applyAlignment="1">
      <alignment wrapText="1"/>
    </xf>
    <xf numFmtId="0" fontId="0" fillId="2" borderId="0" xfId="0" applyFill="1" applyAlignment="1">
      <alignment wrapText="1"/>
    </xf>
    <xf numFmtId="0" fontId="0" fillId="2" borderId="0" xfId="0" applyFill="1" applyAlignment="1">
      <alignment horizontal="left"/>
    </xf>
    <xf numFmtId="0" fontId="9" fillId="0" borderId="0" xfId="0" applyFont="1" applyAlignment="1">
      <alignment horizontal="center"/>
    </xf>
    <xf numFmtId="0" fontId="0" fillId="9" borderId="0" xfId="0" applyFill="1" applyAlignment="1">
      <alignment horizontal="left"/>
    </xf>
    <xf numFmtId="0" fontId="13" fillId="0" borderId="5" xfId="0" applyFont="1" applyBorder="1" applyAlignment="1">
      <alignment horizontal="left"/>
    </xf>
    <xf numFmtId="0" fontId="13" fillId="0" borderId="6" xfId="0" applyFont="1" applyBorder="1"/>
    <xf numFmtId="0" fontId="0" fillId="3" borderId="5" xfId="0" applyFill="1" applyBorder="1" applyAlignment="1">
      <alignment horizontal="left"/>
    </xf>
    <xf numFmtId="0" fontId="0" fillId="3" borderId="6" xfId="0" applyFill="1" applyBorder="1"/>
    <xf numFmtId="0" fontId="0" fillId="0" borderId="5" xfId="0" applyBorder="1" applyAlignment="1">
      <alignment horizontal="left"/>
    </xf>
    <xf numFmtId="0" fontId="0" fillId="0" borderId="6" xfId="0" applyBorder="1"/>
    <xf numFmtId="0" fontId="13" fillId="0" borderId="2" xfId="0" applyFont="1" applyBorder="1" applyAlignment="1">
      <alignment horizontal="left"/>
    </xf>
    <xf numFmtId="0" fontId="13" fillId="0" borderId="4" xfId="0" applyFont="1" applyBorder="1"/>
    <xf numFmtId="0" fontId="13" fillId="3" borderId="3" xfId="0" applyFont="1" applyFill="1" applyBorder="1"/>
    <xf numFmtId="0" fontId="13" fillId="0" borderId="7" xfId="0" applyFont="1" applyBorder="1" applyAlignment="1">
      <alignment horizontal="left"/>
    </xf>
    <xf numFmtId="0" fontId="13" fillId="0" borderId="8" xfId="0" applyFont="1" applyBorder="1"/>
    <xf numFmtId="0" fontId="13" fillId="3" borderId="9" xfId="0" applyFont="1" applyFill="1" applyBorder="1"/>
    <xf numFmtId="0" fontId="0" fillId="7" borderId="0" xfId="0" applyFill="1"/>
    <xf numFmtId="0" fontId="0" fillId="7" borderId="0" xfId="0" applyFill="1" applyAlignment="1">
      <alignment wrapText="1"/>
    </xf>
    <xf numFmtId="0" fontId="0" fillId="7" borderId="0" xfId="0" applyFill="1" applyAlignment="1">
      <alignment horizontal="left" wrapText="1"/>
    </xf>
    <xf numFmtId="3" fontId="0" fillId="7" borderId="0" xfId="0" applyNumberFormat="1" applyFill="1" applyAlignment="1">
      <alignment horizontal="left"/>
    </xf>
    <xf numFmtId="0" fontId="14" fillId="0" borderId="0" xfId="0" applyFont="1" applyAlignment="1">
      <alignment horizontal="center"/>
    </xf>
    <xf numFmtId="0" fontId="14" fillId="0" borderId="0" xfId="0" applyFont="1" applyAlignment="1">
      <alignment horizontal="left" wrapText="1"/>
    </xf>
    <xf numFmtId="0" fontId="29" fillId="0" borderId="0" xfId="0" applyFont="1"/>
    <xf numFmtId="0" fontId="29" fillId="0" borderId="0" xfId="0" applyFont="1" applyAlignment="1">
      <alignment horizontal="center"/>
    </xf>
    <xf numFmtId="0" fontId="29" fillId="0" borderId="0" xfId="0" applyFont="1" applyAlignment="1">
      <alignment horizontal="left" wrapText="1"/>
    </xf>
    <xf numFmtId="0" fontId="35" fillId="0" borderId="0" xfId="0" applyFont="1"/>
    <xf numFmtId="0" fontId="29" fillId="0" borderId="0" xfId="0" applyFont="1" applyAlignment="1">
      <alignment horizontal="left"/>
    </xf>
    <xf numFmtId="0" fontId="29" fillId="0" borderId="0" xfId="0" applyFont="1" applyAlignment="1">
      <alignment wrapText="1"/>
    </xf>
    <xf numFmtId="0" fontId="36" fillId="0" borderId="0" xfId="1" applyFont="1" applyFill="1" applyBorder="1" applyAlignment="1">
      <alignment horizontal="left"/>
    </xf>
    <xf numFmtId="14" fontId="29" fillId="0" borderId="0" xfId="0" applyNumberFormat="1" applyFont="1" applyAlignment="1">
      <alignment horizontal="left" wrapText="1"/>
    </xf>
    <xf numFmtId="0" fontId="13" fillId="0" borderId="10" xfId="0" applyFont="1" applyBorder="1" applyAlignment="1">
      <alignment horizontal="center" vertical="top"/>
    </xf>
    <xf numFmtId="0" fontId="13" fillId="0" borderId="11" xfId="0" applyFont="1" applyBorder="1" applyAlignment="1">
      <alignment horizontal="center" vertical="top" wrapText="1"/>
    </xf>
    <xf numFmtId="0" fontId="0" fillId="10" borderId="0" xfId="0" applyFill="1"/>
    <xf numFmtId="0" fontId="14" fillId="3" borderId="0" xfId="0" applyFont="1" applyFill="1" applyAlignment="1">
      <alignment horizontal="center"/>
    </xf>
    <xf numFmtId="0" fontId="11" fillId="0" borderId="0" xfId="3" applyFont="1" applyAlignment="1">
      <alignment wrapText="1"/>
    </xf>
    <xf numFmtId="0" fontId="11" fillId="0" borderId="0" xfId="3" applyFont="1" applyAlignment="1">
      <alignment horizontal="left" wrapText="1"/>
    </xf>
    <xf numFmtId="0" fontId="11" fillId="0" borderId="0" xfId="3" applyFont="1" applyAlignment="1">
      <alignment horizontal="left"/>
    </xf>
    <xf numFmtId="0" fontId="37" fillId="0" borderId="0" xfId="3"/>
    <xf numFmtId="0" fontId="1" fillId="5" borderId="0" xfId="3" applyFont="1" applyFill="1" applyAlignment="1">
      <alignment horizontal="left" vertical="center"/>
    </xf>
    <xf numFmtId="0" fontId="1" fillId="5" borderId="0" xfId="3" applyFont="1" applyFill="1" applyAlignment="1">
      <alignment horizontal="left" vertical="center" wrapText="1"/>
    </xf>
    <xf numFmtId="0" fontId="23" fillId="5" borderId="0" xfId="3" applyFont="1" applyFill="1" applyAlignment="1">
      <alignment wrapText="1"/>
    </xf>
    <xf numFmtId="0" fontId="1" fillId="0" borderId="0" xfId="3" applyFont="1"/>
    <xf numFmtId="0" fontId="1" fillId="3" borderId="0" xfId="3" applyFont="1" applyFill="1"/>
    <xf numFmtId="0" fontId="19" fillId="3" borderId="0" xfId="3" applyFont="1" applyFill="1" applyAlignment="1">
      <alignment horizontal="center" vertical="center"/>
    </xf>
    <xf numFmtId="0" fontId="37" fillId="3" borderId="0" xfId="3" applyFill="1" applyAlignment="1">
      <alignment wrapText="1"/>
    </xf>
    <xf numFmtId="0" fontId="37" fillId="3" borderId="0" xfId="3" applyFill="1" applyAlignment="1">
      <alignment horizontal="left"/>
    </xf>
    <xf numFmtId="0" fontId="19" fillId="0" borderId="0" xfId="3" applyFont="1" applyAlignment="1">
      <alignment horizontal="center" vertical="center"/>
    </xf>
    <xf numFmtId="0" fontId="37" fillId="0" borderId="0" xfId="3" applyAlignment="1">
      <alignment wrapText="1"/>
    </xf>
    <xf numFmtId="0" fontId="37" fillId="0" borderId="0" xfId="3" applyAlignment="1">
      <alignment horizontal="left"/>
    </xf>
    <xf numFmtId="0" fontId="19" fillId="0" borderId="0" xfId="3" applyFont="1" applyAlignment="1">
      <alignment horizontal="center"/>
    </xf>
    <xf numFmtId="0" fontId="37" fillId="3" borderId="0" xfId="3" applyFill="1"/>
    <xf numFmtId="0" fontId="37" fillId="5" borderId="0" xfId="3" applyFill="1"/>
    <xf numFmtId="0" fontId="37" fillId="5" borderId="0" xfId="3" applyFill="1" applyAlignment="1">
      <alignment wrapText="1"/>
    </xf>
    <xf numFmtId="0" fontId="37" fillId="5" borderId="0" xfId="3" applyFill="1" applyAlignment="1">
      <alignment vertical="center" wrapText="1"/>
    </xf>
    <xf numFmtId="0" fontId="37" fillId="5" borderId="0" xfId="3" applyFill="1" applyAlignment="1">
      <alignment vertical="center"/>
    </xf>
    <xf numFmtId="0" fontId="37" fillId="5" borderId="0" xfId="3" applyFill="1" applyAlignment="1">
      <alignment horizontal="left" vertical="center" wrapText="1"/>
    </xf>
    <xf numFmtId="0" fontId="30" fillId="3" borderId="0" xfId="3" applyFont="1" applyFill="1" applyAlignment="1">
      <alignment vertical="center"/>
    </xf>
    <xf numFmtId="0" fontId="37" fillId="3" borderId="0" xfId="3" applyFill="1" applyAlignment="1">
      <alignment horizontal="left" vertical="center" wrapText="1"/>
    </xf>
    <xf numFmtId="0" fontId="37" fillId="3" borderId="0" xfId="3" applyFill="1" applyAlignment="1">
      <alignment horizontal="left" wrapText="1"/>
    </xf>
    <xf numFmtId="0" fontId="37" fillId="3" borderId="0" xfId="3" applyFill="1" applyAlignment="1">
      <alignment vertical="center"/>
    </xf>
    <xf numFmtId="0" fontId="37" fillId="3" borderId="0" xfId="3" applyFill="1" applyAlignment="1">
      <alignment vertical="center" wrapText="1"/>
    </xf>
    <xf numFmtId="0" fontId="14" fillId="0" borderId="0" xfId="3" applyFont="1" applyAlignment="1">
      <alignment horizontal="left"/>
    </xf>
    <xf numFmtId="0" fontId="15" fillId="0" borderId="0" xfId="3" applyFont="1" applyAlignment="1">
      <alignment horizontal="left"/>
    </xf>
    <xf numFmtId="0" fontId="37" fillId="5" borderId="0" xfId="3" applyFill="1" applyAlignment="1">
      <alignment horizontal="left" wrapText="1"/>
    </xf>
    <xf numFmtId="0" fontId="40" fillId="3" borderId="0" xfId="3" applyFont="1" applyFill="1" applyAlignment="1">
      <alignment vertical="center"/>
    </xf>
    <xf numFmtId="0" fontId="40" fillId="0" borderId="0" xfId="3" applyFont="1" applyAlignment="1">
      <alignment vertical="center"/>
    </xf>
    <xf numFmtId="0" fontId="19" fillId="3" borderId="0" xfId="3" applyFont="1" applyFill="1"/>
    <xf numFmtId="0" fontId="10" fillId="0" borderId="12" xfId="3" applyFont="1" applyBorder="1" applyAlignment="1">
      <alignment horizontal="center"/>
    </xf>
    <xf numFmtId="0" fontId="10" fillId="0" borderId="12" xfId="3" applyFont="1" applyBorder="1" applyAlignment="1">
      <alignment horizontal="center" wrapText="1"/>
    </xf>
    <xf numFmtId="0" fontId="37" fillId="0" borderId="13" xfId="3" applyBorder="1"/>
    <xf numFmtId="0" fontId="37" fillId="0" borderId="14" xfId="3" applyBorder="1"/>
    <xf numFmtId="165" fontId="0" fillId="0" borderId="15" xfId="4" applyNumberFormat="1" applyFont="1" applyBorder="1"/>
    <xf numFmtId="0" fontId="37" fillId="0" borderId="16" xfId="3" applyBorder="1"/>
    <xf numFmtId="0" fontId="37" fillId="0" borderId="10" xfId="3" applyBorder="1"/>
    <xf numFmtId="165" fontId="0" fillId="0" borderId="17" xfId="4" applyNumberFormat="1" applyFont="1" applyBorder="1"/>
    <xf numFmtId="0" fontId="37" fillId="0" borderId="16" xfId="3" applyBorder="1" applyAlignment="1">
      <alignment wrapText="1"/>
    </xf>
    <xf numFmtId="0" fontId="37" fillId="0" borderId="18" xfId="3" applyBorder="1"/>
    <xf numFmtId="0" fontId="37" fillId="0" borderId="19" xfId="3" applyBorder="1"/>
    <xf numFmtId="165" fontId="0" fillId="0" borderId="20" xfId="4" applyNumberFormat="1" applyFont="1" applyBorder="1"/>
    <xf numFmtId="0" fontId="18" fillId="2" borderId="0" xfId="0" applyFont="1" applyFill="1" applyAlignment="1">
      <alignment horizontal="center"/>
    </xf>
    <xf numFmtId="0" fontId="18" fillId="6" borderId="0" xfId="0" applyFont="1" applyFill="1" applyAlignment="1">
      <alignment horizontal="center" vertical="center" wrapText="1"/>
    </xf>
    <xf numFmtId="0" fontId="18" fillId="2" borderId="0" xfId="3" applyFont="1" applyFill="1" applyAlignment="1">
      <alignment horizontal="center"/>
    </xf>
    <xf numFmtId="0" fontId="18" fillId="6" borderId="0" xfId="3" applyFont="1" applyFill="1" applyAlignment="1">
      <alignment horizontal="center" vertical="center" wrapText="1"/>
    </xf>
    <xf numFmtId="0" fontId="18" fillId="4" borderId="0" xfId="3" applyFont="1" applyFill="1" applyAlignment="1">
      <alignment horizontal="center"/>
    </xf>
    <xf numFmtId="0" fontId="18" fillId="4" borderId="0" xfId="3" applyFont="1" applyFill="1" applyAlignment="1">
      <alignment horizontal="center" vertical="center"/>
    </xf>
    <xf numFmtId="0" fontId="18" fillId="2" borderId="0" xfId="3" applyFont="1" applyFill="1" applyAlignment="1">
      <alignment horizontal="center" vertical="center"/>
    </xf>
    <xf numFmtId="0" fontId="11" fillId="2" borderId="0" xfId="3" applyFont="1" applyFill="1" applyAlignment="1">
      <alignment horizontal="center"/>
    </xf>
    <xf numFmtId="0" fontId="2" fillId="0" borderId="2" xfId="3" applyFont="1" applyBorder="1" applyAlignment="1">
      <alignment horizontal="center"/>
    </xf>
    <xf numFmtId="0" fontId="2" fillId="0" borderId="4" xfId="3" applyFont="1" applyBorder="1" applyAlignment="1">
      <alignment horizontal="center"/>
    </xf>
    <xf numFmtId="0" fontId="2" fillId="0" borderId="3" xfId="3" applyFont="1" applyBorder="1" applyAlignment="1">
      <alignment horizontal="center"/>
    </xf>
    <xf numFmtId="0" fontId="27" fillId="6" borderId="0" xfId="0" applyFont="1" applyFill="1" applyAlignment="1">
      <alignment horizontal="center" vertical="center" wrapText="1"/>
    </xf>
    <xf numFmtId="0" fontId="9" fillId="0" borderId="0" xfId="0" applyFont="1" applyAlignment="1">
      <alignment horizontal="center"/>
    </xf>
    <xf numFmtId="0" fontId="2" fillId="0" borderId="2" xfId="0" applyFont="1" applyBorder="1" applyAlignment="1">
      <alignment horizontal="center"/>
    </xf>
    <xf numFmtId="0" fontId="2" fillId="0" borderId="4" xfId="0" applyFont="1" applyBorder="1" applyAlignment="1">
      <alignment horizontal="center"/>
    </xf>
    <xf numFmtId="0" fontId="2" fillId="0" borderId="3" xfId="0" applyFont="1" applyBorder="1" applyAlignment="1">
      <alignment horizontal="center"/>
    </xf>
    <xf numFmtId="0" fontId="1" fillId="7" borderId="0" xfId="0" applyFont="1" applyFill="1" applyAlignment="1">
      <alignment vertical="center" wrapText="1"/>
    </xf>
  </cellXfs>
  <cellStyles count="5">
    <cellStyle name="Comma 2" xfId="4" xr:uid="{71741A54-1EC1-B84F-B30C-850602A89319}"/>
    <cellStyle name="Hyperlink" xfId="1" builtinId="8"/>
    <cellStyle name="Normal" xfId="0" builtinId="0"/>
    <cellStyle name="Normal 2" xfId="3" xr:uid="{BA247281-A31F-5745-A965-F23293E581B3}"/>
    <cellStyle name="Normal 3" xfId="2" xr:uid="{D2C8E832-1D77-6640-A20C-DA29391D3B6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27</xdr:row>
      <xdr:rowOff>0</xdr:rowOff>
    </xdr:from>
    <xdr:to>
      <xdr:col>5</xdr:col>
      <xdr:colOff>1362075</xdr:colOff>
      <xdr:row>61</xdr:row>
      <xdr:rowOff>1123950</xdr:rowOff>
    </xdr:to>
    <xdr:pic>
      <xdr:nvPicPr>
        <xdr:cNvPr id="2" name="Picture 1">
          <a:extLst>
            <a:ext uri="{FF2B5EF4-FFF2-40B4-BE49-F238E27FC236}">
              <a16:creationId xmlns:a16="http://schemas.microsoft.com/office/drawing/2014/main" id="{7E2C92B1-94BD-6C4E-89AA-2445653A4C3E}"/>
            </a:ext>
          </a:extLst>
        </xdr:cNvPr>
        <xdr:cNvPicPr>
          <a:picLocks noChangeAspect="1"/>
        </xdr:cNvPicPr>
      </xdr:nvPicPr>
      <xdr:blipFill>
        <a:blip xmlns:r="http://schemas.openxmlformats.org/officeDocument/2006/relationships" r:embed="rId1"/>
        <a:stretch>
          <a:fillRect/>
        </a:stretch>
      </xdr:blipFill>
      <xdr:spPr>
        <a:xfrm>
          <a:off x="0" y="14947900"/>
          <a:ext cx="6899275" cy="8350250"/>
        </a:xfrm>
        <a:prstGeom prst="rect">
          <a:avLst/>
        </a:prstGeom>
      </xdr:spPr>
    </xdr:pic>
    <xdr:clientData/>
  </xdr:twoCellAnchor>
  <xdr:twoCellAnchor editAs="oneCell">
    <xdr:from>
      <xdr:col>0</xdr:col>
      <xdr:colOff>0</xdr:colOff>
      <xdr:row>83</xdr:row>
      <xdr:rowOff>0</xdr:rowOff>
    </xdr:from>
    <xdr:to>
      <xdr:col>5</xdr:col>
      <xdr:colOff>1762125</xdr:colOff>
      <xdr:row>124</xdr:row>
      <xdr:rowOff>142875</xdr:rowOff>
    </xdr:to>
    <xdr:pic>
      <xdr:nvPicPr>
        <xdr:cNvPr id="3" name="Picture 2">
          <a:extLst>
            <a:ext uri="{FF2B5EF4-FFF2-40B4-BE49-F238E27FC236}">
              <a16:creationId xmlns:a16="http://schemas.microsoft.com/office/drawing/2014/main" id="{CFC6D7B0-D569-A149-8B0A-838D4A916193}"/>
            </a:ext>
            <a:ext uri="{147F2762-F138-4A5C-976F-8EAC2B608ADB}">
              <a16:predDERef xmlns:a16="http://schemas.microsoft.com/office/drawing/2014/main" pred="{27F5C1CF-995F-F21A-1878-15878197620D}"/>
            </a:ext>
          </a:extLst>
        </xdr:cNvPr>
        <xdr:cNvPicPr>
          <a:picLocks noChangeAspect="1"/>
        </xdr:cNvPicPr>
      </xdr:nvPicPr>
      <xdr:blipFill>
        <a:blip xmlns:r="http://schemas.openxmlformats.org/officeDocument/2006/relationships" r:embed="rId2"/>
        <a:stretch>
          <a:fillRect/>
        </a:stretch>
      </xdr:blipFill>
      <xdr:spPr>
        <a:xfrm>
          <a:off x="0" y="35306000"/>
          <a:ext cx="7299325" cy="7953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0</xdr:row>
      <xdr:rowOff>142875</xdr:rowOff>
    </xdr:from>
    <xdr:to>
      <xdr:col>15</xdr:col>
      <xdr:colOff>564828</xdr:colOff>
      <xdr:row>19</xdr:row>
      <xdr:rowOff>38100</xdr:rowOff>
    </xdr:to>
    <xdr:pic>
      <xdr:nvPicPr>
        <xdr:cNvPr id="2" name="Picture 1">
          <a:extLst>
            <a:ext uri="{FF2B5EF4-FFF2-40B4-BE49-F238E27FC236}">
              <a16:creationId xmlns:a16="http://schemas.microsoft.com/office/drawing/2014/main" id="{CD8BD860-2F05-414E-8FAC-936539D21266}"/>
            </a:ext>
          </a:extLst>
        </xdr:cNvPr>
        <xdr:cNvPicPr>
          <a:picLocks noChangeAspect="1"/>
        </xdr:cNvPicPr>
      </xdr:nvPicPr>
      <xdr:blipFill rotWithShape="1">
        <a:blip xmlns:r="http://schemas.openxmlformats.org/officeDocument/2006/relationships" r:embed="rId1"/>
        <a:srcRect l="12126" t="34569" r="5162" b="14234"/>
        <a:stretch/>
      </xdr:blipFill>
      <xdr:spPr>
        <a:xfrm>
          <a:off x="19050" y="142875"/>
          <a:ext cx="10642278" cy="3514725"/>
        </a:xfrm>
        <a:prstGeom prst="rect">
          <a:avLst/>
        </a:prstGeom>
      </xdr:spPr>
    </xdr:pic>
    <xdr:clientData/>
  </xdr:twoCellAnchor>
  <xdr:twoCellAnchor editAs="oneCell">
    <xdr:from>
      <xdr:col>0</xdr:col>
      <xdr:colOff>304800</xdr:colOff>
      <xdr:row>23</xdr:row>
      <xdr:rowOff>114299</xdr:rowOff>
    </xdr:from>
    <xdr:to>
      <xdr:col>13</xdr:col>
      <xdr:colOff>552450</xdr:colOff>
      <xdr:row>63</xdr:row>
      <xdr:rowOff>122817</xdr:rowOff>
    </xdr:to>
    <xdr:pic>
      <xdr:nvPicPr>
        <xdr:cNvPr id="3" name="Picture 2">
          <a:extLst>
            <a:ext uri="{FF2B5EF4-FFF2-40B4-BE49-F238E27FC236}">
              <a16:creationId xmlns:a16="http://schemas.microsoft.com/office/drawing/2014/main" id="{D1180165-69BC-E243-8561-9299BCB04972}"/>
            </a:ext>
          </a:extLst>
        </xdr:cNvPr>
        <xdr:cNvPicPr>
          <a:picLocks noChangeAspect="1"/>
        </xdr:cNvPicPr>
      </xdr:nvPicPr>
      <xdr:blipFill rotWithShape="1">
        <a:blip xmlns:r="http://schemas.openxmlformats.org/officeDocument/2006/relationships" r:embed="rId2"/>
        <a:srcRect l="37838" t="28522" r="38825" b="34288"/>
        <a:stretch/>
      </xdr:blipFill>
      <xdr:spPr>
        <a:xfrm>
          <a:off x="304800" y="4495799"/>
          <a:ext cx="8997950" cy="7628518"/>
        </a:xfrm>
        <a:prstGeom prst="rect">
          <a:avLst/>
        </a:prstGeom>
      </xdr:spPr>
    </xdr:pic>
    <xdr:clientData/>
  </xdr:twoCellAnchor>
  <xdr:twoCellAnchor editAs="oneCell">
    <xdr:from>
      <xdr:col>0</xdr:col>
      <xdr:colOff>104775</xdr:colOff>
      <xdr:row>65</xdr:row>
      <xdr:rowOff>171450</xdr:rowOff>
    </xdr:from>
    <xdr:to>
      <xdr:col>14</xdr:col>
      <xdr:colOff>266700</xdr:colOff>
      <xdr:row>83</xdr:row>
      <xdr:rowOff>76200</xdr:rowOff>
    </xdr:to>
    <xdr:pic>
      <xdr:nvPicPr>
        <xdr:cNvPr id="4" name="Picture 3">
          <a:extLst>
            <a:ext uri="{FF2B5EF4-FFF2-40B4-BE49-F238E27FC236}">
              <a16:creationId xmlns:a16="http://schemas.microsoft.com/office/drawing/2014/main" id="{FA41934E-C9DB-DC47-ADE2-C77FDF191ACB}"/>
            </a:ext>
          </a:extLst>
        </xdr:cNvPr>
        <xdr:cNvPicPr>
          <a:picLocks noChangeAspect="1"/>
        </xdr:cNvPicPr>
      </xdr:nvPicPr>
      <xdr:blipFill rotWithShape="1">
        <a:blip xmlns:r="http://schemas.openxmlformats.org/officeDocument/2006/relationships" r:embed="rId3"/>
        <a:srcRect l="27003" t="31559" r="25449" b="37325"/>
        <a:stretch/>
      </xdr:blipFill>
      <xdr:spPr>
        <a:xfrm>
          <a:off x="104775" y="12553950"/>
          <a:ext cx="9585325" cy="33337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visionblockchain-my.sharepoint.com/personal/daniel_norkin_envisionblockchain_com/Documents/Marketing/Clients/UNFCCC/UNFCCC%20Project%20Documentation/UNFCCC%2016%20Methodologies/Tools/Tool%2013.xlsx" TargetMode="External"/><Relationship Id="rId1" Type="http://schemas.openxmlformats.org/officeDocument/2006/relationships/externalLinkPath" Target="/personal/daniel_norkin_envisionblockchain_com/Documents/Marketing/Clients/UNFCCC/UNFCCC%20Project%20Documentation/UNFCCC%2016%20Methodologies/Tools/Tool%2013.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envisionblockchain-my.sharepoint.com/personal/daniel_norkin_envisionblockchain_com/Documents/Marketing/Clients/UNFCCC/UNFCCC%20Project%20Documentation/UNFCCC%2016%20Methodologies/Tools/CDM%20Tool%2004_SWDS_9-20-23.xlsx" TargetMode="External"/><Relationship Id="rId1" Type="http://schemas.openxmlformats.org/officeDocument/2006/relationships/externalLinkPath" Target="/personal/daniel_norkin_envisionblockchain_com/Documents/Marketing/Clients/UNFCCC/UNFCCC%20Project%20Documentation/UNFCCC%2016%20Methodologies/Tools/CDM%20Tool%2004_SWDS_9-20-23.xlsx" TargetMode="External"/></Relationships>
</file>

<file path=xl/externalLinks/_rels/externalLink3.xml.rels><?xml version="1.0" encoding="UTF-8" standalone="yes"?>
<Relationships xmlns="http://schemas.openxmlformats.org/package/2006/relationships"><Relationship Id="rId3" Type="http://schemas.openxmlformats.org/officeDocument/2006/relationships/externalLinkPath" Target="https://envisionblockchain-my.sharepoint.com/personal/daniel_norkin_envisionblockchain_com/Documents/Marketing/Clients/UNFCCC/UNFCCC%20Project%20Documentation/UNFCCC%2016%20Methodologies/Tools/CDM%20Tool%2012_Freight%20Trans_9-20-23.xlsx" TargetMode="External"/><Relationship Id="rId2" Type="http://schemas.microsoft.com/office/2019/04/relationships/externalLinkLongPath" Target="/personal/daniel_norkin_envisionblockchain_com/Documents/Marketing/Clients/UNFCCC/UNFCCC%20Project%20Documentation/UNFCCC%2016%20Methodologies/Tools/CDM%20Tool%2012_Freight%20Trans_9-20-23.xlsx?0D5D24E7" TargetMode="External"/><Relationship Id="rId1" Type="http://schemas.openxmlformats.org/officeDocument/2006/relationships/externalLinkPath" Target="file:///\\0D5D24E7\CDM%20Tool%2012_Freight%20Trans_9-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gJ--WRyWk2M58t-xo8AMw4Hd2S_tuVIh6_9J6mM8WvmO8km1t4fTabOi9lRuvUT" itemId="01AGBR2IUTXWY3FP4SHZGJ7L33LFH4RLMW">
      <xxl21:absoluteUrl r:id="rId2"/>
    </xxl21:alternateUrls>
    <sheetNames>
      <sheetName val="Tool 13"/>
      <sheetName val="MCF Defaults"/>
      <sheetName val="Tool 05.2 Power Plants"/>
      <sheetName val="Tool 05.3 Default Values"/>
      <sheetName val="(Revised) Tool 03"/>
      <sheetName val="Tool 05.1"/>
      <sheetName val="Tool 04-SWDS-Yearly"/>
      <sheetName val="SWDS Emissions Summary Tab "/>
      <sheetName val="Dropdown Items"/>
    </sheetNames>
    <sheetDataSet>
      <sheetData sheetId="0"/>
      <sheetData sheetId="1"/>
      <sheetData sheetId="2" refreshError="1"/>
      <sheetData sheetId="3" refreshError="1"/>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gJ--WRyWk2M58t-xo8AMw4Hd2S_tuVIh6_9J6mM8WvmO8km1t4fTabOi9lRuvUT" itemId="01AGBR2IXEJNYBYUVRFFEIBRCCVT7ACKGH">
      <xxl21:absoluteUrl r:id="rId2"/>
    </xxl21:alternateUrls>
    <sheetNames>
      <sheetName val="Tool 04-SWDS-Yearly"/>
      <sheetName val="SWDS Emissions Summary Tab "/>
      <sheetName val="Dropdown Items"/>
    </sheetNames>
    <sheetDataSet>
      <sheetData sheetId="0">
        <row r="3">
          <cell r="C3" t="str">
            <v>Baseline Emissions (BE)</v>
          </cell>
        </row>
        <row r="86">
          <cell r="C86" t="e">
            <v>#DIV/0!</v>
          </cell>
        </row>
      </sheetData>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gJ--WRyWk2M58t-xo8AMw4Hd2S_tuVIh6_9J6mM8WvmO8km1t4fTabOi9lRuvUT" itemId="01AGBR2ISIDAWGQURPQJDJXQHJO2U7HLV4">
      <xxl21:absoluteUrl r:id="rId3"/>
    </xxl21:alternateUrls>
    <sheetNames>
      <sheetName val="Tool 12 - Freight Trans"/>
      <sheetName val="Emissions Summary Tab"/>
      <sheetName val="Dropdown Items"/>
      <sheetName val="Tool 12 - Freight Trains"/>
    </sheetNames>
    <sheetDataSet>
      <sheetData sheetId="0" refreshError="1">
        <row r="4">
          <cell r="C4" t="str">
            <v>Project emissions (PEtr,m)</v>
          </cell>
        </row>
        <row r="5">
          <cell r="C5" t="str">
            <v>Activity 1</v>
          </cell>
        </row>
        <row r="7">
          <cell r="C7" t="str">
            <v>Source 1</v>
          </cell>
        </row>
        <row r="8">
          <cell r="C8" t="str">
            <v>Facility 1</v>
          </cell>
        </row>
        <row r="9">
          <cell r="C9" t="str">
            <v>Sugar cane bagasse</v>
          </cell>
        </row>
        <row r="11">
          <cell r="C11">
            <v>2</v>
          </cell>
        </row>
        <row r="12">
          <cell r="C12" t="str">
            <v>Option A: Monitoring fuel consumption</v>
          </cell>
        </row>
        <row r="13">
          <cell r="C13" t="str">
            <v>Road Vehicle</v>
          </cell>
        </row>
        <row r="14">
          <cell r="C14" t="str">
            <v>Heavy</v>
          </cell>
        </row>
        <row r="17">
          <cell r="C17" t="str">
            <v>[Tool  03] Parameter = PEFC,j,y</v>
          </cell>
        </row>
        <row r="19">
          <cell r="C19">
            <v>100</v>
          </cell>
        </row>
        <row r="21">
          <cell r="C21">
            <v>2.58E-2</v>
          </cell>
        </row>
      </sheetData>
      <sheetData sheetId="1" refreshError="1"/>
      <sheetData sheetId="2" refreshError="1"/>
      <sheetData sheetId="3" refreshError="1"/>
    </sheetDataSet>
  </externalBook>
</externalLink>
</file>

<file path=xl/persons/person.xml><?xml version="1.0" encoding="utf-8"?>
<personList xmlns="http://schemas.microsoft.com/office/spreadsheetml/2018/threadedcomments" xmlns:x="http://schemas.openxmlformats.org/spreadsheetml/2006/main">
  <person displayName="Max Pinnola" id="{FB334FBC-7757-904E-81F3-766D5208A166}" userId="6071b2e426a8e48f" providerId="Windows Live"/>
  <person displayName="Dalís Rae De La Mora" id="{88D9A9A5-261A-D84A-96C1-00BEF3C755E8}" userId="S::drdelamo@calpoly.edu::adad9fd7-6cb2-44dd-8383-7fe6ae23b99e" providerId="AD"/>
  <person displayName="Jailine Molina" id="{5D26052A-5494-5A4A-B1BD-2CCC5E64AAC4}" userId="S::jailine.molina@envisionblockchain.com::dcbde9ba-19ec-4293-81b0-e7f5b6f86adb" providerId="AD"/>
  <person displayName="Luiz Hernandez" id="{9B7651A4-2565-9048-A011-BC788E207156}" userId="S::luiz.hernandez@envisionblockchain.com::18725e9c-2f54-407d-8eb5-9ce1c3438bc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5" dT="2023-08-22T19:22:30.47" personId="{88D9A9A5-261A-D84A-96C1-00BEF3C755E8}" id="{8E676EBE-E70F-4A43-99D6-03677D85E8AE}">
    <text>TOOL15</text>
  </threadedComment>
  <threadedComment ref="G38" dT="2023-08-21T21:10:32.38" personId="{88D9A9A5-261A-D84A-96C1-00BEF3C755E8}" id="{4AFE3DC9-8E14-1542-AF44-550818A8FF3F}">
    <text>Eq 1</text>
  </threadedComment>
  <threadedComment ref="G39" dT="2023-08-21T23:00:17.24" personId="{88D9A9A5-261A-D84A-96C1-00BEF3C755E8}" id="{8BBF9054-6D9E-784C-84F4-A1E8316D2F69}">
    <text>Eq 2</text>
  </threadedComment>
  <threadedComment ref="G40" dT="2023-08-25T02:52:19.79" personId="{88D9A9A5-261A-D84A-96C1-00BEF3C755E8}" id="{BE0812C9-182E-E84E-A3A1-AE919F4E6ADA}">
    <text>TOOL05</text>
  </threadedComment>
  <threadedComment ref="G41" dT="2023-08-27T13:47:26.12" personId="{88D9A9A5-261A-D84A-96C1-00BEF3C755E8}" id="{1E178A8C-8537-6D41-B9F5-CEAEC60E759F}">
    <text>Eq 17</text>
  </threadedComment>
  <threadedComment ref="G42" dT="2023-08-27T23:31:12.12" personId="{88D9A9A5-261A-D84A-96C1-00BEF3C755E8}" id="{EAD5BD93-4CBC-ED45-9BDB-D4A64F3A7C6C}">
    <text>Eq 21</text>
  </threadedComment>
  <threadedComment ref="G46" dT="2023-08-27T23:00:23.80" personId="{88D9A9A5-261A-D84A-96C1-00BEF3C755E8}" id="{EF83F220-9E1E-D94A-AF98-A48069DCB059}">
    <text>TOOL09</text>
  </threadedComment>
  <threadedComment ref="G49" dT="2023-08-27T23:25:32.30" personId="{88D9A9A5-261A-D84A-96C1-00BEF3C755E8}" id="{07EDB2B6-6874-7E4A-BB89-1796351F2D14}">
    <text>TOOL03</text>
  </threadedComment>
  <threadedComment ref="G50" dT="2023-08-27T23:26:49.04" personId="{88D9A9A5-261A-D84A-96C1-00BEF3C755E8}" id="{798EAA8B-4C35-9D41-A424-543B0B48E1B0}">
    <text>TOOL08</text>
  </threadedComment>
  <threadedComment ref="G56" dT="2023-08-28T21:24:16.26" personId="{88D9A9A5-261A-D84A-96C1-00BEF3C755E8}" id="{E1FCD2E7-77C9-F543-BEA9-2076D7D50AF6}">
    <text>Eq 17</text>
  </threadedComment>
  <threadedComment ref="G57" dT="2023-08-27T22:56:21.33" personId="{88D9A9A5-261A-D84A-96C1-00BEF3C755E8}" id="{9B21D698-BBA4-A24F-9F60-8C6C4D11D49D}">
    <text>Eq 18</text>
  </threadedComment>
  <threadedComment ref="G61" dT="2023-08-27T23:00:23.80" personId="{88D9A9A5-261A-D84A-96C1-00BEF3C755E8}" id="{C7329786-4DDC-8E4E-9C0C-1C6504E6C197}">
    <text>TOOL09</text>
  </threadedComment>
  <threadedComment ref="G65" dT="2023-08-28T21:24:10.00" personId="{88D9A9A5-261A-D84A-96C1-00BEF3C755E8}" id="{6840592D-6B8B-EE4F-9DF7-61F2A62FD244}">
    <text>Eq 17</text>
  </threadedComment>
  <threadedComment ref="G66" dT="2023-08-27T22:56:21.33" personId="{88D9A9A5-261A-D84A-96C1-00BEF3C755E8}" id="{DEB071F2-C935-1B49-95FC-A9CADC7E3D0E}">
    <text>Eq 18</text>
  </threadedComment>
  <threadedComment ref="G70" dT="2023-08-27T23:00:23.80" personId="{88D9A9A5-261A-D84A-96C1-00BEF3C755E8}" id="{9D76605E-A38B-1442-9D67-24F0948C1EC6}">
    <text>TOOL09</text>
  </threadedComment>
  <threadedComment ref="G74" dT="2023-08-22T18:52:10.46" personId="{88D9A9A5-261A-D84A-96C1-00BEF3C755E8}" id="{15C8198E-7301-C44E-B4BD-F687E33767FC}">
    <text>Eq 22</text>
  </threadedComment>
  <threadedComment ref="G75" dT="2023-08-22T19:06:50.23" personId="{88D9A9A5-261A-D84A-96C1-00BEF3C755E8}" id="{28417E73-76A0-9146-906C-23B4A11F863A}">
    <text>TOOL05</text>
  </threadedComment>
  <threadedComment ref="G76" dT="2023-08-22T19:07:48.87" personId="{88D9A9A5-261A-D84A-96C1-00BEF3C755E8}" id="{664FCC14-B4E7-5B43-A058-4CE0B00EA835}">
    <text>TOOL03</text>
  </threadedComment>
  <threadedComment ref="G77" dT="2023-08-22T19:10:34.20" personId="{88D9A9A5-261A-D84A-96C1-00BEF3C755E8}" id="{C6CFC952-940E-CB49-A4F1-A53EC41968C7}">
    <text>Eq 23</text>
  </threadedComment>
  <threadedComment ref="G78" dT="2023-08-22T19:27:24.70" personId="{88D9A9A5-261A-D84A-96C1-00BEF3C755E8}" id="{AECE1878-9D2F-594A-9E8D-A862E142EE0D}">
    <text>Eq 25</text>
  </threadedComment>
  <threadedComment ref="G79" dT="2023-08-22T19:11:59.31" personId="{88D9A9A5-261A-D84A-96C1-00BEF3C755E8}" id="{A5E70218-C39E-364B-B215-D6F431658311}">
    <text>TOOL12</text>
  </threadedComment>
  <threadedComment ref="G80" dT="2023-08-22T19:15:13.27" personId="{88D9A9A5-261A-D84A-96C1-00BEF3C755E8}" id="{FC50D4BC-4425-C642-A203-4FFF3C88FFD0}">
    <text>Eq 24</text>
  </threadedComment>
</ThreadedComments>
</file>

<file path=xl/threadedComments/threadedComment10.xml><?xml version="1.0" encoding="utf-8"?>
<ThreadedComments xmlns="http://schemas.microsoft.com/office/spreadsheetml/2018/threadedcomments" xmlns:x="http://schemas.openxmlformats.org/spreadsheetml/2006/main">
  <threadedComment ref="D30" dT="2023-08-28T14:54:03.37" personId="{88D9A9A5-261A-D84A-96C1-00BEF3C755E8}" id="{2E5B0C44-CFD6-E44F-B4D3-0B3A5A95A49F}">
    <text>Eq 5</text>
  </threadedComment>
  <threadedComment ref="D33" dT="2023-08-28T14:54:57.18" personId="{88D9A9A5-261A-D84A-96C1-00BEF3C755E8}" id="{340FA998-D4F2-0A42-ACE8-E1F920CFAECC}">
    <text>Eq 6</text>
  </threadedComment>
  <threadedComment ref="D39" dT="2023-08-28T14:54:03.37" personId="{88D9A9A5-261A-D84A-96C1-00BEF3C755E8}" id="{4812034A-5AD7-BC4B-9FEA-B2A2FC8EE2BD}">
    <text>Eq 5</text>
  </threadedComment>
  <threadedComment ref="D40" dT="2023-08-28T15:06:19.86" personId="{88D9A9A5-261A-D84A-96C1-00BEF3C755E8}" id="{038B3683-EC5D-6944-9276-0FBEDB39B4DF}">
    <text>Eq 7</text>
  </threadedComment>
  <threadedComment ref="D42" dT="2023-08-28T14:54:57.18" personId="{88D9A9A5-261A-D84A-96C1-00BEF3C755E8}" id="{01C0953A-FE19-1742-995E-04C219A4D85D}">
    <text>Eq 6</text>
  </threadedComment>
  <threadedComment ref="D48" dT="2023-08-28T21:22:45.01" personId="{88D9A9A5-261A-D84A-96C1-00BEF3C755E8}" id="{A6A07FE3-CA99-8543-B519-62DCA4C36A9A}">
    <text>Eq 8</text>
  </threadedComment>
  <threadedComment ref="D50" dT="2023-08-28T15:21:52.31" personId="{88D9A9A5-261A-D84A-96C1-00BEF3C755E8}" id="{2B8407EC-2FF2-8E44-BB46-C4D0499E8747}">
    <text>Eq 3</text>
  </threadedComment>
  <threadedComment ref="D52" dT="2023-08-28T15:35:22.33" personId="{88D9A9A5-261A-D84A-96C1-00BEF3C755E8}" id="{2E55239D-DAA6-7F40-A795-E165663A2FCD}">
    <text>Eq 9</text>
  </threadedComment>
  <threadedComment ref="D53" dT="2023-08-28T15:36:01.94" personId="{88D9A9A5-261A-D84A-96C1-00BEF3C755E8}" id="{B34301C9-911F-A24C-8555-A89FE9726D14}">
    <text>Eq 11</text>
  </threadedComment>
  <threadedComment ref="D55" dT="2023-08-28T15:38:31.00" personId="{88D9A9A5-261A-D84A-96C1-00BEF3C755E8}" id="{0CB37208-6B24-A041-A0CD-B11902792A03}">
    <text>Eq 10</text>
  </threadedComment>
  <threadedComment ref="D62" dT="2023-08-28T14:54:03.37" personId="{88D9A9A5-261A-D84A-96C1-00BEF3C755E8}" id="{6F52A80F-A35E-2D4C-A361-FFD4A499635A}">
    <text>Eq 5</text>
  </threadedComment>
  <threadedComment ref="D63" dT="2023-08-28T21:37:24.89" personId="{88D9A9A5-261A-D84A-96C1-00BEF3C755E8}" id="{B0CB3C7A-0B67-7341-B070-3793D97DED79}">
    <text>Eq 12</text>
  </threadedComment>
  <threadedComment ref="D65" dT="2023-08-28T14:54:57.18" personId="{88D9A9A5-261A-D84A-96C1-00BEF3C755E8}" id="{58D0C3CC-04AD-8540-979D-02A02AB5726E}">
    <text>Eq 6</text>
  </threadedComment>
  <threadedComment ref="D71" dT="2023-08-28T21:37:35.67" personId="{88D9A9A5-261A-D84A-96C1-00BEF3C755E8}" id="{9E073B9D-5479-DF45-9078-EDA6D80A94EC}">
    <text>Eq 13</text>
  </threadedComment>
  <threadedComment ref="D72" dT="2023-08-28T15:21:52.31" personId="{88D9A9A5-261A-D84A-96C1-00BEF3C755E8}" id="{32A07A1C-946D-2B44-A292-80A42BFBC1E9}">
    <text>Eq 3</text>
  </threadedComment>
  <threadedComment ref="D74" dT="2023-08-28T14:54:03.37" personId="{88D9A9A5-261A-D84A-96C1-00BEF3C755E8}" id="{97FB7FE1-2A55-B944-9B55-B7A722FB7F62}">
    <text>Eq 5</text>
  </threadedComment>
  <threadedComment ref="D75" dT="2023-08-28T22:21:17.96" personId="{88D9A9A5-261A-D84A-96C1-00BEF3C755E8}" id="{211C1A62-EED0-8942-9033-7D5823C68A55}">
    <text>Eq 12</text>
  </threadedComment>
  <threadedComment ref="D77" dT="2023-08-28T14:54:57.18" personId="{88D9A9A5-261A-D84A-96C1-00BEF3C755E8}" id="{0DFF62B8-41A7-3548-A759-13CCE0BB266B}">
    <text>Eq 6</text>
  </threadedComment>
  <threadedComment ref="D82" dT="2023-08-28T22:25:20.91" personId="{88D9A9A5-261A-D84A-96C1-00BEF3C755E8}" id="{AE773CA4-7173-0549-B60F-0B7D3661312B}">
    <text>Eq 14</text>
  </threadedComment>
  <threadedComment ref="D87" dT="2023-08-28T15:35:22.33" personId="{88D9A9A5-261A-D84A-96C1-00BEF3C755E8}" id="{B40A89E6-52D8-664E-8B8A-5C01D8AE17CE}">
    <text>Eq 9</text>
  </threadedComment>
  <threadedComment ref="D88" dT="2023-08-28T15:36:01.94" personId="{88D9A9A5-261A-D84A-96C1-00BEF3C755E8}" id="{B087C380-7744-C146-B574-00D0C519BD80}">
    <text>Eq 15</text>
  </threadedComment>
  <threadedComment ref="D90" dT="2023-08-28T15:38:31.00" personId="{88D9A9A5-261A-D84A-96C1-00BEF3C755E8}" id="{37DF4233-C887-2543-8B7A-ABDC6B335605}">
    <text>Eq 10</text>
  </threadedComment>
  <threadedComment ref="D94" dT="2023-08-28T22:53:59.30" personId="{88D9A9A5-261A-D84A-96C1-00BEF3C755E8}" id="{65C3AF71-E360-654D-AFC3-42D89022ED81}">
    <text>Eq 16</text>
  </threadedComment>
  <threadedComment ref="D95" dT="2023-08-28T22:53:45.03" personId="{88D9A9A5-261A-D84A-96C1-00BEF3C755E8}" id="{B9F49C56-1B0D-DA4C-B3AA-829F4DA530FD}">
    <text>Eq 17</text>
  </threadedComment>
  <threadedComment ref="D97" dT="2023-08-28T01:50:29.84" personId="{88D9A9A5-261A-D84A-96C1-00BEF3C755E8}" id="{8E234E0F-AB63-834C-8B21-D52EE164F7DD}">
    <text>Eq 1</text>
  </threadedComment>
  <threadedComment ref="D99" dT="2023-08-28T01:50:40.80" personId="{88D9A9A5-261A-D84A-96C1-00BEF3C755E8}" id="{2D477AD7-7208-B744-AF56-3461E0C8A85B}">
    <text>Eq 2</text>
  </threadedComment>
  <threadedComment ref="D100" dT="2023-08-28T02:36:46.07" personId="{88D9A9A5-261A-D84A-96C1-00BEF3C755E8}" id="{756AA49D-3B63-5D4F-892A-C7E92E9420A6}">
    <text>Eq 3</text>
  </threadedComment>
  <threadedComment ref="D102" dT="2023-08-28T02:57:23.42" personId="{88D9A9A5-261A-D84A-96C1-00BEF3C755E8}" id="{B5AD9F14-3D5E-FC4B-AF93-C4221BB0E19E}">
    <text>Eq 4</text>
  </threadedComment>
  <threadedComment ref="D106" dT="2023-08-28T02:36:46.07" personId="{88D9A9A5-261A-D84A-96C1-00BEF3C755E8}" id="{7F633844-6F60-FA44-BF18-CEF17E25BBF1}">
    <text>Eq 3</text>
  </threadedComment>
  <threadedComment ref="D108" dT="2023-08-28T21:24:36.00" personId="{88D9A9A5-261A-D84A-96C1-00BEF3C755E8}" id="{237A32F7-1D0E-3546-AAA2-D2708ACBF79F}">
    <text>Eq 3 &amp; 17</text>
  </threadedComment>
  <threadedComment ref="D113" dT="2023-08-28T21:24:30.02" personId="{88D9A9A5-261A-D84A-96C1-00BEF3C755E8}" id="{5757FCE4-D3D2-E04F-ABE1-E429479DCC13}">
    <text>Eq 3 &amp; 17</text>
  </threadedComment>
</ThreadedComments>
</file>

<file path=xl/threadedComments/threadedComment11.xml><?xml version="1.0" encoding="utf-8"?>
<ThreadedComments xmlns="http://schemas.microsoft.com/office/spreadsheetml/2018/threadedcomments" xmlns:x="http://schemas.openxmlformats.org/spreadsheetml/2006/main">
  <threadedComment ref="F10" dT="2023-08-16T16:15:54.51" personId="{5D26052A-5494-5A4A-B1BD-2CCC5E64AAC4}" id="{91170E0B-7069-1D4D-8EF6-0B9795970E9A}">
    <text>Eq 1</text>
  </threadedComment>
</ThreadedComments>
</file>

<file path=xl/threadedComments/threadedComment12.xml><?xml version="1.0" encoding="utf-8"?>
<ThreadedComments xmlns="http://schemas.microsoft.com/office/spreadsheetml/2018/threadedcomments" xmlns:x="http://schemas.openxmlformats.org/spreadsheetml/2006/main">
  <threadedComment ref="F6" dT="2023-08-10T14:56:00.30" personId="{5D26052A-5494-5A4A-B1BD-2CCC5E64AAC4}" id="{393F6316-019C-AB49-A93E-0AFE65C3DFB6}">
    <text>Eq 1</text>
  </threadedComment>
  <threadedComment ref="F11" dT="2023-08-10T14:56:07.23" personId="{5D26052A-5494-5A4A-B1BD-2CCC5E64AAC4}" id="{38C187FE-9D4F-4545-AE74-8A423DA3CECC}">
    <text>Eq 2</text>
  </threadedComment>
  <threadedComment ref="F13" dT="2023-08-14T21:55:53.61" personId="{5D26052A-5494-5A4A-B1BD-2CCC5E64AAC4}" id="{22904915-725F-134D-BD09-B4B293055867}">
    <text>At least monthly recording of data</text>
  </threadedComment>
  <threadedComment ref="F16" dT="2023-08-10T14:56:16.16" personId="{5D26052A-5494-5A4A-B1BD-2CCC5E64AAC4}" id="{809AC9B5-1202-A64E-8261-8150A9FB4D82}">
    <text>Eq 3</text>
  </threadedComment>
  <threadedComment ref="F22" dT="2023-08-22T01:12:00.32" personId="{5D26052A-5494-5A4A-B1BD-2CCC5E64AAC4}" id="{21B4FC73-34A1-3944-8B67-04CE4855FD14}">
    <text>Eq 7</text>
  </threadedComment>
  <threadedComment ref="F23" dT="2023-08-22T01:12:36.84" personId="{5D26052A-5494-5A4A-B1BD-2CCC5E64AAC4}" id="{4DBA36D3-6B0B-964F-981E-5C87A75683D3}">
    <text>Eq 8</text>
  </threadedComment>
  <threadedComment ref="F37" dT="2023-08-10T15:56:01.08" personId="{5D26052A-5494-5A4A-B1BD-2CCC5E64AAC4}" id="{1A34DD0B-7646-4F40-BAFC-4AA4C2CCA61D}">
    <text>Eq 4</text>
  </threadedComment>
  <threadedComment ref="F38" dT="2023-08-10T21:11:09.42" personId="{5D26052A-5494-5A4A-B1BD-2CCC5E64AAC4}" id="{722B1E3C-C44D-354F-83A9-3CD3FBC8419A}">
    <text>Eq 5</text>
  </threadedComment>
</ThreadedComments>
</file>

<file path=xl/threadedComments/threadedComment13.xml><?xml version="1.0" encoding="utf-8"?>
<ThreadedComments xmlns="http://schemas.microsoft.com/office/spreadsheetml/2018/threadedcomments" xmlns:x="http://schemas.openxmlformats.org/spreadsheetml/2006/main">
  <threadedComment ref="F3" dT="2023-08-10T15:56:01.08" personId="{5D26052A-5494-5A4A-B1BD-2CCC5E64AAC4}" id="{D123ED9A-D5D7-5D4F-99FB-98B435610DEE}">
    <text>Eq 4</text>
  </threadedComment>
  <threadedComment ref="F4" dT="2023-08-10T21:11:09.42" personId="{5D26052A-5494-5A4A-B1BD-2CCC5E64AAC4}" id="{9687012B-A31B-C749-B38E-1A61096F6C92}">
    <text>Eq 5</text>
  </threadedComment>
  <threadedComment ref="F7" dT="2023-08-10T15:56:01.08" personId="{5D26052A-5494-5A4A-B1BD-2CCC5E64AAC4}" id="{86E39650-C110-0548-9820-4338EE67B584}">
    <text>Eq 4</text>
  </threadedComment>
  <threadedComment ref="F8" dT="2023-08-10T21:11:09.42" personId="{5D26052A-5494-5A4A-B1BD-2CCC5E64AAC4}" id="{42E912F3-7D3F-D34B-BD15-E9654CEC795C}">
    <text>Eq 5</text>
  </threadedComment>
  <threadedComment ref="F10" dT="2023-08-10T21:00:37.41" personId="{5D26052A-5494-5A4A-B1BD-2CCC5E64AAC4}" id="{74667A68-FF17-A04B-8746-D1B6BF071DA0}">
    <text>Assumptions are made for this that the unit for FCn,i,t is in metric tons</text>
  </threadedComment>
  <threadedComment ref="G10" dT="2023-08-10T19:37:59.63" personId="{5D26052A-5494-5A4A-B1BD-2CCC5E64AAC4}" id="{33F7D8F8-68D1-FA4C-86B3-800ED4BFB880}">
    <text>Dependent on fuel type selection</text>
  </threadedComment>
  <threadedComment ref="G11" dT="2023-08-10T19:38:12.02" personId="{5D26052A-5494-5A4A-B1BD-2CCC5E64AAC4}" id="{66ACBE36-4EAC-154F-BE96-14C855CF3BDD}">
    <text>Dependent on fuel type selection</text>
  </threadedComment>
  <threadedComment ref="F12" dT="2023-08-10T20:53:47.04" personId="{5D26052A-5494-5A4A-B1BD-2CCC5E64AAC4}" id="{41F791F1-6BEB-1F46-BB05-A4F429E40969}">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19" dT="2023-08-10T15:56:01.08" personId="{5D26052A-5494-5A4A-B1BD-2CCC5E64AAC4}" id="{49528DCB-67D0-D74B-BB3E-37E5DBADABFD}">
    <text>Eq 4</text>
  </threadedComment>
  <threadedComment ref="F20" dT="2023-08-10T21:11:09.42" personId="{5D26052A-5494-5A4A-B1BD-2CCC5E64AAC4}" id="{0420E7E3-BA85-524A-A238-BBC9946BA541}">
    <text>Eq 5</text>
  </threadedComment>
  <threadedComment ref="F22" dT="2023-08-10T21:00:37.41" personId="{5D26052A-5494-5A4A-B1BD-2CCC5E64AAC4}" id="{4E184FCD-742A-2C4E-88E2-88C3631A237C}">
    <text>Assumptions are made for this that the unit for FCn,i,t is in metric tons</text>
  </threadedComment>
  <threadedComment ref="G22" dT="2023-08-10T19:37:59.63" personId="{5D26052A-5494-5A4A-B1BD-2CCC5E64AAC4}" id="{399A7376-CCA4-844D-8788-1FFE97BB52CE}">
    <text>Dependent on fuel type selection</text>
  </threadedComment>
  <threadedComment ref="G23" dT="2023-08-10T19:38:12.02" personId="{5D26052A-5494-5A4A-B1BD-2CCC5E64AAC4}" id="{C60371D2-8A0B-AB45-B9B1-C31DB968D0F4}">
    <text>Dependent on fuel type selection</text>
  </threadedComment>
  <threadedComment ref="F24" dT="2023-08-10T20:53:47.04" personId="{5D26052A-5494-5A4A-B1BD-2CCC5E64AAC4}" id="{B315F566-EF65-9247-9535-E4E0D3195FEF}">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31" dT="2023-08-10T15:56:01.08" personId="{5D26052A-5494-5A4A-B1BD-2CCC5E64AAC4}" id="{B24D93AC-1F7D-2C4C-9322-266ECDCCABBB}">
    <text>Eq 4</text>
  </threadedComment>
  <threadedComment ref="F32" dT="2023-08-10T21:11:09.42" personId="{5D26052A-5494-5A4A-B1BD-2CCC5E64AAC4}" id="{777C24A4-63DA-9E4E-AFD4-34161A9ADEA6}">
    <text>Eq 5</text>
  </threadedComment>
  <threadedComment ref="F34" dT="2023-08-10T21:00:37.41" personId="{5D26052A-5494-5A4A-B1BD-2CCC5E64AAC4}" id="{50540C06-268B-0641-9081-32C45FDDF744}">
    <text>Assumptions are made for this that the unit for FCn,i,t is in metric tons</text>
  </threadedComment>
  <threadedComment ref="G34" dT="2023-08-10T19:37:59.63" personId="{5D26052A-5494-5A4A-B1BD-2CCC5E64AAC4}" id="{330DF489-95C3-8F44-852C-0E7F020153BD}">
    <text>Dependent on fuel type selection</text>
  </threadedComment>
  <threadedComment ref="G35" dT="2023-08-10T19:38:12.02" personId="{5D26052A-5494-5A4A-B1BD-2CCC5E64AAC4}" id="{FB7719E5-C263-A244-B1A5-A90F32DB3979}">
    <text>Dependent on fuel type selection</text>
  </threadedComment>
  <threadedComment ref="F36" dT="2023-08-10T20:53:47.04" personId="{5D26052A-5494-5A4A-B1BD-2CCC5E64AAC4}" id="{289A8204-89E9-CF4D-ACBB-8CBD8547C4DC}">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s>
</file>

<file path=xl/threadedComments/threadedComment14.xml><?xml version="1.0" encoding="utf-8"?>
<ThreadedComments xmlns="http://schemas.microsoft.com/office/spreadsheetml/2018/threadedcomments" xmlns:x="http://schemas.openxmlformats.org/spreadsheetml/2006/main">
  <threadedComment ref="D3" dT="2023-08-10T16:26:52.04" personId="{5D26052A-5494-5A4A-B1BD-2CCC5E64AAC4}" id="{C8B42F2D-D59C-A948-AE74-CCCDD7FB57DC}">
    <text>Upper Default Value at the 95% confidence interval</text>
  </threadedComment>
</ThreadedComments>
</file>

<file path=xl/threadedComments/threadedComment15.xml><?xml version="1.0" encoding="utf-8"?>
<ThreadedComments xmlns="http://schemas.microsoft.com/office/spreadsheetml/2018/threadedcomments" xmlns:x="http://schemas.openxmlformats.org/spreadsheetml/2006/main">
  <threadedComment ref="C44" dT="2023-08-07T18:31:59.03" personId="{5D26052A-5494-5A4A-B1BD-2CCC5E64AAC4}" id="{5B5FF9A5-32B3-5747-AC5F-7206235135C7}">
    <text>Eq 5</text>
  </threadedComment>
  <threadedComment ref="C45" dT="2023-08-07T18:37:45.62" personId="{5D26052A-5494-5A4A-B1BD-2CCC5E64AAC4}" id="{D70CA058-3D02-884F-9796-048CBBA09C9D}">
    <text>Eq 6</text>
  </threadedComment>
  <threadedComment ref="C48" dT="2023-08-07T18:37:33.62" personId="{5D26052A-5494-5A4A-B1BD-2CCC5E64AAC4}" id="{C3D7E383-9231-4B49-A94A-A0AE38798841}">
    <text>Eq 7</text>
  </threadedComment>
  <threadedComment ref="C49" dT="2023-08-07T18:58:57.06" personId="{5D26052A-5494-5A4A-B1BD-2CCC5E64AAC4}" id="{A0098826-8000-714F-8CBA-45D99EA6A133}">
    <text>Comes from tool 08</text>
  </threadedComment>
  <threadedComment ref="C50" dT="2023-08-07T19:02:06.06" personId="{5D26052A-5494-5A4A-B1BD-2CCC5E64AAC4}" id="{06AF0C8A-BF12-A744-98AA-C5C79844265F}">
    <text>Eq 5 in tool 08</text>
  </threadedComment>
  <threadedComment ref="C51" dT="2023-08-07T18:58:57.06" personId="{5D26052A-5494-5A4A-B1BD-2CCC5E64AAC4}" id="{89421317-626A-8C41-9661-BADBB81FD07D}">
    <text>Comes from tool 08</text>
  </threadedComment>
  <threadedComment ref="C54" dT="2023-08-07T20:32:58.24" personId="{5D26052A-5494-5A4A-B1BD-2CCC5E64AAC4}" id="{4A34FFD3-45FD-3944-B91C-7CA310CF44F9}">
    <text>Eq 3</text>
  </threadedComment>
  <threadedComment ref="C56" dT="2023-08-07T19:07:00.47" personId="{5D26052A-5494-5A4A-B1BD-2CCC5E64AAC4}" id="{2F5C252A-86A3-FE45-A0F5-38743935ED74}">
    <text>Eq 4</text>
  </threadedComment>
  <threadedComment ref="C57" dT="2023-08-07T19:07:25.43" personId="{5D26052A-5494-5A4A-B1BD-2CCC5E64AAC4}" id="{01D5CDA0-7BAB-6944-BFC9-B236F8CF1CB4}">
    <text>Eq 8</text>
  </threadedComment>
  <threadedComment ref="C58" dT="2023-08-07T19:08:12.17" personId="{5D26052A-5494-5A4A-B1BD-2CCC5E64AAC4}" id="{E358EF34-7F1A-C446-8E38-3A4B6B33438B}">
    <text>Eq 9</text>
  </threadedComment>
  <threadedComment ref="C59" dT="2023-08-07T19:08:57.03" personId="{5D26052A-5494-5A4A-B1BD-2CCC5E64AAC4}" id="{8837F2ED-5B41-9246-8CF5-9DD68F6270CC}">
    <text>Eq 10</text>
  </threadedComment>
  <threadedComment ref="C60" dT="2023-08-07T19:09:14.09" personId="{5D26052A-5494-5A4A-B1BD-2CCC5E64AAC4}" id="{9FAECBD2-9345-C64A-9235-5AAEB70F4BF8}">
    <text>Eq 11</text>
  </threadedComment>
  <threadedComment ref="C61" dT="2023-08-07T19:09:51.89" personId="{5D26052A-5494-5A4A-B1BD-2CCC5E64AAC4}" id="{7DBC378F-5DBA-1D43-802A-843160FA5D84}">
    <text>Eq 12</text>
  </threadedComment>
  <threadedComment ref="C62" dT="2023-08-07T19:10:10.48" personId="{5D26052A-5494-5A4A-B1BD-2CCC5E64AAC4}" id="{A3ADB73A-E8AF-2F4D-A8EC-D4333405307B}">
    <text>Eq 13</text>
  </threadedComment>
  <threadedComment ref="C64" dT="2023-08-07T19:19:04.14" personId="{5D26052A-5494-5A4A-B1BD-2CCC5E64AAC4}" id="{E1C3FF91-5D99-1647-8EC9-76A5C52A6067}">
    <text>Eq 14</text>
  </threadedComment>
  <threadedComment ref="C65" dT="2023-08-07T19:19:12.89" personId="{5D26052A-5494-5A4A-B1BD-2CCC5E64AAC4}" id="{E4009CA1-00F5-FA40-9BA6-A66B1693A79B}">
    <text>Eq 14</text>
  </threadedComment>
  <threadedComment ref="C66" dT="2023-08-07T19:19:19.16" personId="{5D26052A-5494-5A4A-B1BD-2CCC5E64AAC4}" id="{113B55F3-B440-144D-B800-5E0DFD5F5C44}">
    <text>Eq 14</text>
  </threadedComment>
  <threadedComment ref="C67" dT="2023-08-07T19:19:27.70" personId="{5D26052A-5494-5A4A-B1BD-2CCC5E64AAC4}" id="{3FD1B851-0A33-3A44-9944-CBE9451B452D}">
    <text>Eq 14</text>
  </threadedComment>
  <threadedComment ref="C69" dT="2023-08-07T21:12:45.72" personId="{5D26052A-5494-5A4A-B1BD-2CCC5E64AAC4}" id="{BEB49C44-29E8-5249-91BB-C5C89D44C0A3}">
    <text>Eq 15</text>
  </threadedComment>
</ThreadedComments>
</file>

<file path=xl/threadedComments/threadedComment16.xml><?xml version="1.0" encoding="utf-8"?>
<ThreadedComments xmlns="http://schemas.microsoft.com/office/spreadsheetml/2018/threadedcomments" xmlns:x="http://schemas.openxmlformats.org/spreadsheetml/2006/main">
  <threadedComment ref="H23" dT="2023-09-06T00:34:53.72" personId="{9B7651A4-2565-9048-A011-BC788E207156}" id="{8B41DE3D-366C-8D40-9115-A6983B77AE3D}">
    <text>Possibly need to include Tool 24: Methodological tool: Common practice</text>
  </threadedComment>
  <threadedComment ref="H25" dT="2023-09-06T00:34:53.72" personId="{9B7651A4-2565-9048-A011-BC788E207156}" id="{3FC2CA98-AA36-764A-A98F-A978BCA5BF53}">
    <text>Possibly need to include Tool 24: Methodological tool: Common practice</text>
  </threadedComment>
  <threadedComment ref="H81" dT="2023-09-06T00:34:53.72" personId="{9B7651A4-2565-9048-A011-BC788E207156}" id="{47D33CED-EE89-7447-847A-B59C501E8155}">
    <text>Possibly need to include Tool 24: Methodological tool: Common practice</text>
  </threadedComment>
</ThreadedComments>
</file>

<file path=xl/threadedComments/threadedComment17.xml><?xml version="1.0" encoding="utf-8"?>
<ThreadedComments xmlns="http://schemas.microsoft.com/office/spreadsheetml/2018/threadedcomments" xmlns:x="http://schemas.openxmlformats.org/spreadsheetml/2006/main">
  <threadedComment ref="B34" dT="2023-09-14T15:57:32.66" personId="{FB334FBC-7757-904E-81F3-766D5208A166}" id="{D92C67BA-7E47-EE4F-B842-A9E9DCCB873B}">
    <text>Equation 3</text>
  </threadedComment>
  <threadedComment ref="B35" dT="2023-09-14T15:57:50.52" personId="{FB334FBC-7757-904E-81F3-766D5208A166}" id="{2CA65697-3ECE-FD42-B529-C62CD72AE518}">
    <text>Equation 4</text>
  </threadedComment>
  <threadedComment ref="B44" dT="2023-09-14T16:00:06.57" personId="{FB334FBC-7757-904E-81F3-766D5208A166}" id="{E1F9DE39-8D59-8641-8D7B-3A3E2906F34E}">
    <text>Equation 7</text>
  </threadedComment>
  <threadedComment ref="B45" dT="2023-09-14T15:58:31.69" personId="{FB334FBC-7757-904E-81F3-766D5208A166}" id="{BADEBE5C-E968-F14C-B8AD-96BCB7DA4AED}">
    <text>Equation 5</text>
  </threadedComment>
  <threadedComment ref="B54" dT="2023-09-14T16:00:45.83" personId="{FB334FBC-7757-904E-81F3-766D5208A166}" id="{BC4EC996-A209-3B4E-AE54-F6E7C2D49F68}">
    <text>Equation 9</text>
  </threadedComment>
  <threadedComment ref="B59" dT="2023-09-14T16:01:11.41" personId="{FB334FBC-7757-904E-81F3-766D5208A166}" id="{1DB7A26A-A90C-194E-BBE5-9DF7BA215C6D}">
    <text>Equation 11</text>
  </threadedComment>
  <threadedComment ref="B66" dT="2023-09-14T16:02:00.74" personId="{FB334FBC-7757-904E-81F3-766D5208A166}" id="{1727F99A-7A8A-6743-B2F4-0D3D6D763DAC}">
    <text>Equation 12</text>
  </threadedComment>
  <threadedComment ref="B86" dT="2023-09-08T16:51:38.02" personId="{FB334FBC-7757-904E-81F3-766D5208A166}" id="{12E61659-099D-964C-ACBA-0D2E0BCC821A}">
    <text>Equation 1</text>
  </threadedComment>
</ThreadedComments>
</file>

<file path=xl/threadedComments/threadedComment18.xml><?xml version="1.0" encoding="utf-8"?>
<ThreadedComments xmlns="http://schemas.microsoft.com/office/spreadsheetml/2018/threadedcomments" xmlns:x="http://schemas.openxmlformats.org/spreadsheetml/2006/main">
  <threadedComment ref="A2" dT="2023-09-14T16:39:36.76" personId="{FB334FBC-7757-904E-81F3-766D5208A166}" id="{F0B52929-DB61-7540-90A6-AAEEB8ABF8FA}">
    <text>Add a line for each SWDS CH4 calculation instance added</text>
  </threadedComment>
</ThreadedComments>
</file>

<file path=xl/threadedComments/threadedComment19.xml><?xml version="1.0" encoding="utf-8"?>
<ThreadedComments xmlns="http://schemas.microsoft.com/office/spreadsheetml/2018/threadedcomments" xmlns:x="http://schemas.openxmlformats.org/spreadsheetml/2006/main">
  <threadedComment ref="A3" dT="2023-09-20T20:07:43.23" personId="{FB334FBC-7757-904E-81F3-766D5208A166}" id="{21722995-01FA-E344-8BC2-1DEC5E037642}">
    <text xml:space="preserve">Add a line for each transportation activity (f). </text>
  </threadedComment>
</ThreadedComments>
</file>

<file path=xl/threadedComments/threadedComment2.xml><?xml version="1.0" encoding="utf-8"?>
<ThreadedComments xmlns="http://schemas.microsoft.com/office/spreadsheetml/2018/threadedcomments" xmlns:x="http://schemas.openxmlformats.org/spreadsheetml/2006/main">
  <threadedComment ref="D3" dT="2023-08-25T00:59:29.97" personId="{88D9A9A5-261A-D84A-96C1-00BEF3C755E8}" id="{B0B28EA7-DB2F-1042-81ED-2BC21E98F702}">
    <text>Eq 5</text>
  </threadedComment>
  <threadedComment ref="D4" dT="2023-08-25T01:11:47.45" personId="{88D9A9A5-261A-D84A-96C1-00BEF3C755E8}" id="{0321A6E5-9DC9-6047-AFCD-DB9B77ADB587}">
    <text>TOOL04</text>
  </threadedComment>
</ThreadedComments>
</file>

<file path=xl/threadedComments/threadedComment3.xml><?xml version="1.0" encoding="utf-8"?>
<ThreadedComments xmlns="http://schemas.microsoft.com/office/spreadsheetml/2018/threadedcomments" xmlns:x="http://schemas.openxmlformats.org/spreadsheetml/2006/main">
  <threadedComment ref="D3" dT="2023-08-21T23:03:57.48" personId="{88D9A9A5-261A-D84A-96C1-00BEF3C755E8}" id="{BAF1F14C-7378-7446-814D-140C294E7C4E}">
    <text>Eq 3</text>
  </threadedComment>
  <threadedComment ref="D4" dT="2023-08-21T23:13:21.93" personId="{88D9A9A5-261A-D84A-96C1-00BEF3C755E8}" id="{9D667801-86FB-9141-8078-501E621F72EE}">
    <text>Eq 4</text>
  </threadedComment>
  <threadedComment ref="D5" dT="2023-08-22T23:56:31.68" personId="{88D9A9A5-261A-D84A-96C1-00BEF3C755E8}" id="{D2C847E8-C466-6D46-B4E1-DAE5537CC80B}">
    <text>TOOL08</text>
  </threadedComment>
  <threadedComment ref="D6" dT="2023-08-22T23:56:41.08" personId="{88D9A9A5-261A-D84A-96C1-00BEF3C755E8}" id="{C20021B1-752A-FD43-B874-4096A56AA8C5}">
    <text>TOOL08</text>
  </threadedComment>
  <threadedComment ref="D7" dT="2023-08-22T23:57:01.12" personId="{88D9A9A5-261A-D84A-96C1-00BEF3C755E8}" id="{D458FFC3-E553-DC43-AD42-DB2B36CDAA02}">
    <text>TOOL08</text>
  </threadedComment>
  <threadedComment ref="D8" dT="2023-08-22T23:59:16.96" personId="{88D9A9A5-261A-D84A-96C1-00BEF3C755E8}" id="{08CBF5B9-DFFE-7443-8ACB-8E58E791CF6A}">
    <text>TOOL08</text>
  </threadedComment>
  <threadedComment ref="D9" dT="2023-08-23T00:00:38.22" personId="{88D9A9A5-261A-D84A-96C1-00BEF3C755E8}" id="{A973AF85-59B0-114A-9315-42A2BEE28FB2}">
    <text>TOOL06</text>
  </threadedComment>
</ThreadedComments>
</file>

<file path=xl/threadedComments/threadedComment4.xml><?xml version="1.0" encoding="utf-8"?>
<ThreadedComments xmlns="http://schemas.microsoft.com/office/spreadsheetml/2018/threadedcomments" xmlns:x="http://schemas.openxmlformats.org/spreadsheetml/2006/main">
  <threadedComment ref="D3" dT="2023-08-25T01:24:48.64" personId="{88D9A9A5-261A-D84A-96C1-00BEF3C755E8}" id="{199DC76C-908F-9B47-B85E-9A375914101F}">
    <text>Eq 6</text>
  </threadedComment>
</ThreadedComments>
</file>

<file path=xl/threadedComments/threadedComment5.xml><?xml version="1.0" encoding="utf-8"?>
<ThreadedComments xmlns="http://schemas.microsoft.com/office/spreadsheetml/2018/threadedcomments" xmlns:x="http://schemas.openxmlformats.org/spreadsheetml/2006/main">
  <threadedComment ref="D3" dT="2023-08-25T02:42:06.89" personId="{88D9A9A5-261A-D84A-96C1-00BEF3C755E8}" id="{D97A837C-615D-4A4C-B104-71AA77CD6A8A}">
    <text>Eq 7</text>
  </threadedComment>
  <threadedComment ref="D9" dT="2023-08-25T02:42:35.92" personId="{88D9A9A5-261A-D84A-96C1-00BEF3C755E8}" id="{6403A5CF-CE13-0C40-92FE-B5259CD4DA60}">
    <text>Eq 8</text>
  </threadedComment>
  <threadedComment ref="D11" dT="2023-08-28T20:42:06.58" personId="{88D9A9A5-261A-D84A-96C1-00BEF3C755E8}" id="{6CEB79B2-9796-664C-ABD5-4DECA44AFA1A}">
    <text>TOOL08</text>
  </threadedComment>
  <threadedComment ref="D14" dT="2023-08-25T02:29:31.27" personId="{88D9A9A5-261A-D84A-96C1-00BEF3C755E8}" id="{7A527B2B-64ED-EF4E-81AC-38A379C42667}">
    <text>TOOL08</text>
  </threadedComment>
  <threadedComment ref="D15" dT="2023-08-28T20:47:55.44" personId="{88D9A9A5-261A-D84A-96C1-00BEF3C755E8}" id="{1F89C899-521D-BC43-9C28-9DF4F660874A}">
    <text>Eq 9</text>
  </threadedComment>
  <threadedComment ref="D16" dT="2023-08-28T20:48:02.24" personId="{88D9A9A5-261A-D84A-96C1-00BEF3C755E8}" id="{49735F8A-3AAE-694E-96A2-0539F3B0FB88}">
    <text>Eq 10</text>
  </threadedComment>
  <threadedComment ref="D17" dT="2023-08-28T20:42:06.58" personId="{88D9A9A5-261A-D84A-96C1-00BEF3C755E8}" id="{26D6B440-F93E-3D48-A09C-691F0F3570C3}">
    <text>TOOL08</text>
  </threadedComment>
</ThreadedComments>
</file>

<file path=xl/threadedComments/threadedComment6.xml><?xml version="1.0" encoding="utf-8"?>
<ThreadedComments xmlns="http://schemas.microsoft.com/office/spreadsheetml/2018/threadedcomments" xmlns:x="http://schemas.openxmlformats.org/spreadsheetml/2006/main">
  <threadedComment ref="D3" dT="2023-08-25T01:33:07.23" personId="{88D9A9A5-261A-D84A-96C1-00BEF3C755E8}" id="{14B06C1A-74B1-AF42-8A4E-9FA4DCF26049}">
    <text>Eq 11</text>
  </threadedComment>
  <threadedComment ref="D7" dT="2023-08-25T01:57:19.04" personId="{88D9A9A5-261A-D84A-96C1-00BEF3C755E8}" id="{8554D016-DE2F-2749-90E7-DF78D8711F51}">
    <text>Eq 12</text>
  </threadedComment>
  <threadedComment ref="D8" dT="2023-08-25T01:32:47.40" personId="{88D9A9A5-261A-D84A-96C1-00BEF3C755E8}" id="{CCA35A52-6031-044B-8EFB-B71203A3212C}">
    <text>TOOL08</text>
  </threadedComment>
  <threadedComment ref="D10" dT="2023-08-25T01:59:32.67" personId="{88D9A9A5-261A-D84A-96C1-00BEF3C755E8}" id="{7449C6AE-A313-994A-8DAB-39CC4D6D9B7B}">
    <text>Eq 13</text>
  </threadedComment>
  <threadedComment ref="D11" dT="2023-08-25T01:42:20.50" personId="{88D9A9A5-261A-D84A-96C1-00BEF3C755E8}" id="{88EA758E-8C3B-3E49-AD04-19F8B2A5E737}">
    <text>Eq 14</text>
  </threadedComment>
  <threadedComment ref="D13" dT="2023-08-25T01:54:25.74" personId="{88D9A9A5-261A-D84A-96C1-00BEF3C755E8}" id="{87CA819C-5E55-814A-A166-17E155DB98D4}">
    <text>TOOL04</text>
  </threadedComment>
  <threadedComment ref="D16" dT="2023-08-25T01:57:19.04" personId="{88D9A9A5-261A-D84A-96C1-00BEF3C755E8}" id="{5D4EE7F0-4E9B-744C-9C6A-E59AB10909C9}">
    <text>Eq 15</text>
  </threadedComment>
</ThreadedComments>
</file>

<file path=xl/threadedComments/threadedComment7.xml><?xml version="1.0" encoding="utf-8"?>
<ThreadedComments xmlns="http://schemas.microsoft.com/office/spreadsheetml/2018/threadedcomments" xmlns:x="http://schemas.openxmlformats.org/spreadsheetml/2006/main">
  <threadedComment ref="D3" dT="2023-08-25T02:10:56.93" personId="{88D9A9A5-261A-D84A-96C1-00BEF3C755E8}" id="{1985600B-F93D-BB4F-9704-EE812AE517D3}">
    <text>Eq 16</text>
  </threadedComment>
  <threadedComment ref="D5" dT="2023-08-25T02:10:38.19" personId="{88D9A9A5-261A-D84A-96C1-00BEF3C755E8}" id="{D21ABAFC-1AB4-3147-8777-E98FB65B60D6}">
    <text>Case 2</text>
  </threadedComment>
  <threadedComment ref="D7" dT="2023-08-25T02:10:30.19" personId="{88D9A9A5-261A-D84A-96C1-00BEF3C755E8}" id="{1B944E6D-CAC2-974D-98BA-29CD2E924820}">
    <text>Case 3</text>
  </threadedComment>
</ThreadedComments>
</file>

<file path=xl/threadedComments/threadedComment8.xml><?xml version="1.0" encoding="utf-8"?>
<ThreadedComments xmlns="http://schemas.microsoft.com/office/spreadsheetml/2018/threadedcomments" xmlns:x="http://schemas.openxmlformats.org/spreadsheetml/2006/main">
  <threadedComment ref="D3" dT="2023-08-28T00:16:33.84" personId="{88D9A9A5-261A-D84A-96C1-00BEF3C755E8}" id="{1FEC4A0F-1A0E-ED4F-8E42-3A259D494942}">
    <text>Eq 19</text>
  </threadedComment>
  <threadedComment ref="D6" dT="2023-08-28T00:15:26.40" personId="{88D9A9A5-261A-D84A-96C1-00BEF3C755E8}" id="{2CB57DB1-6442-0542-9C80-2E08C5ED93FB}">
    <text>TOOL08</text>
  </threadedComment>
</ThreadedComments>
</file>

<file path=xl/threadedComments/threadedComment9.xml><?xml version="1.0" encoding="utf-8"?>
<ThreadedComments xmlns="http://schemas.microsoft.com/office/spreadsheetml/2018/threadedcomments" xmlns:x="http://schemas.openxmlformats.org/spreadsheetml/2006/main">
  <threadedComment ref="D3" dT="2023-08-28T00:16:43.06" personId="{88D9A9A5-261A-D84A-96C1-00BEF3C755E8}" id="{DD39A9C7-8A94-794D-8A0A-B06EDA4BDA92}">
    <text>Eq 20</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D@gmail.com"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bin"/><Relationship Id="rId4" Type="http://schemas.microsoft.com/office/2017/10/relationships/threadedComment" Target="../threadedComments/threadedComment11.x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3.bin"/><Relationship Id="rId4" Type="http://schemas.microsoft.com/office/2017/10/relationships/threadedComment" Target="../threadedComments/threadedComment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xml"/><Relationship Id="rId4" Type="http://schemas.microsoft.com/office/2017/10/relationships/threadedComment" Target="../threadedComments/threadedComment1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4.bin"/><Relationship Id="rId4" Type="http://schemas.microsoft.com/office/2017/10/relationships/threadedComment" Target="../threadedComments/threadedComment17.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8.xml"/><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4.xml.rels><?xml version="1.0" encoding="UTF-8" standalone="yes"?>
<Relationships xmlns="http://schemas.openxmlformats.org/package/2006/relationships"><Relationship Id="rId3" Type="http://schemas.microsoft.com/office/2017/10/relationships/threadedComment" Target="../threadedComments/threadedComment19.xml"/><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7D4C3-F9D1-CB4A-9071-B54AC0A58C12}">
  <dimension ref="A1:I86"/>
  <sheetViews>
    <sheetView tabSelected="1" zoomScale="99" zoomScaleNormal="100" workbookViewId="0">
      <pane xSplit="1" ySplit="2" topLeftCell="B3" activePane="bottomRight" state="frozen"/>
      <selection pane="bottomRight" activeCell="H74" sqref="H74"/>
      <selection pane="bottomLeft"/>
      <selection pane="topRight"/>
    </sheetView>
  </sheetViews>
  <sheetFormatPr defaultColWidth="8.85546875" defaultRowHeight="15"/>
  <cols>
    <col min="1" max="1" width="18.140625" bestFit="1" customWidth="1"/>
    <col min="2" max="2" width="20.28515625" customWidth="1"/>
    <col min="3" max="3" width="29.28515625" bestFit="1" customWidth="1"/>
    <col min="4" max="4" width="16.140625" bestFit="1" customWidth="1"/>
    <col min="5" max="5" width="48.7109375" customWidth="1"/>
    <col min="6" max="6" width="16.140625" customWidth="1"/>
    <col min="7" max="7" width="51" customWidth="1"/>
    <col min="8" max="8" width="122.28515625" customWidth="1"/>
  </cols>
  <sheetData>
    <row r="1" spans="1:9" s="1" customFormat="1" ht="18.95">
      <c r="A1" s="1" t="s">
        <v>0</v>
      </c>
      <c r="B1" s="1" t="s">
        <v>1</v>
      </c>
      <c r="C1" s="2" t="s">
        <v>2</v>
      </c>
      <c r="D1" s="1" t="s">
        <v>3</v>
      </c>
      <c r="E1" s="1" t="s">
        <v>4</v>
      </c>
      <c r="F1" s="1" t="s">
        <v>5</v>
      </c>
      <c r="G1" s="2" t="s">
        <v>6</v>
      </c>
      <c r="H1" s="1" t="s">
        <v>7</v>
      </c>
    </row>
    <row r="2" spans="1:9" s="5" customFormat="1" ht="18.95">
      <c r="A2" s="3"/>
      <c r="B2" s="3"/>
      <c r="C2" s="4"/>
      <c r="D2" s="4"/>
      <c r="E2" s="4"/>
      <c r="F2" s="4"/>
      <c r="G2" s="3" t="s">
        <v>8</v>
      </c>
      <c r="H2" s="4"/>
    </row>
    <row r="3" spans="1:9" s="114" customFormat="1" ht="15.95">
      <c r="A3" s="111" t="s">
        <v>9</v>
      </c>
      <c r="B3" s="111"/>
      <c r="C3" s="111" t="s">
        <v>10</v>
      </c>
      <c r="D3" s="111" t="s">
        <v>11</v>
      </c>
      <c r="E3" s="109"/>
      <c r="F3" s="112" t="s">
        <v>12</v>
      </c>
      <c r="G3" s="111" t="s">
        <v>13</v>
      </c>
      <c r="H3" s="113" t="s">
        <v>14</v>
      </c>
      <c r="I3" s="111"/>
    </row>
    <row r="4" spans="1:9" s="114" customFormat="1">
      <c r="A4" s="111" t="s">
        <v>9</v>
      </c>
      <c r="B4" s="111"/>
      <c r="C4" s="111" t="s">
        <v>10</v>
      </c>
      <c r="D4" s="111" t="s">
        <v>11</v>
      </c>
      <c r="E4" s="109" t="s">
        <v>15</v>
      </c>
      <c r="F4" s="112" t="s">
        <v>12</v>
      </c>
      <c r="G4" s="111" t="s">
        <v>16</v>
      </c>
      <c r="H4" s="115" t="s">
        <v>17</v>
      </c>
      <c r="I4" s="111"/>
    </row>
    <row r="5" spans="1:9" s="114" customFormat="1">
      <c r="A5" s="111" t="s">
        <v>9</v>
      </c>
      <c r="B5" s="111"/>
      <c r="C5" s="111" t="s">
        <v>9</v>
      </c>
      <c r="D5" s="111" t="s">
        <v>11</v>
      </c>
      <c r="E5" s="109" t="s">
        <v>18</v>
      </c>
      <c r="F5" s="112" t="s">
        <v>12</v>
      </c>
      <c r="G5" s="111" t="s">
        <v>19</v>
      </c>
      <c r="H5" s="115" t="s">
        <v>20</v>
      </c>
      <c r="I5" s="111"/>
    </row>
    <row r="6" spans="1:9" s="114" customFormat="1" ht="15.95">
      <c r="A6" s="111" t="s">
        <v>9</v>
      </c>
      <c r="B6" s="111"/>
      <c r="C6" s="111" t="s">
        <v>9</v>
      </c>
      <c r="D6" s="111" t="s">
        <v>11</v>
      </c>
      <c r="E6" s="109" t="s">
        <v>21</v>
      </c>
      <c r="F6" s="112" t="s">
        <v>12</v>
      </c>
      <c r="G6" s="111" t="s">
        <v>22</v>
      </c>
      <c r="H6" s="113" t="s">
        <v>23</v>
      </c>
      <c r="I6" s="111"/>
    </row>
    <row r="7" spans="1:9" s="114" customFormat="1" ht="15.95">
      <c r="A7" s="111" t="s">
        <v>9</v>
      </c>
      <c r="B7" s="111"/>
      <c r="C7" s="111"/>
      <c r="D7" s="111" t="s">
        <v>11</v>
      </c>
      <c r="E7" s="109" t="s">
        <v>24</v>
      </c>
      <c r="F7" s="112" t="s">
        <v>12</v>
      </c>
      <c r="G7" s="111" t="s">
        <v>25</v>
      </c>
      <c r="H7" s="113" t="s">
        <v>26</v>
      </c>
      <c r="I7" s="111"/>
    </row>
    <row r="8" spans="1:9" s="114" customFormat="1" ht="15.95">
      <c r="A8" s="111" t="s">
        <v>9</v>
      </c>
      <c r="B8" s="111"/>
      <c r="C8" s="111"/>
      <c r="D8" s="111" t="s">
        <v>11</v>
      </c>
      <c r="E8" s="109" t="s">
        <v>27</v>
      </c>
      <c r="F8" s="112" t="s">
        <v>12</v>
      </c>
      <c r="G8" s="111" t="s">
        <v>28</v>
      </c>
      <c r="H8" s="113" t="s">
        <v>29</v>
      </c>
      <c r="I8" s="111"/>
    </row>
    <row r="9" spans="1:9" s="114" customFormat="1" ht="15.95">
      <c r="A9" s="111" t="s">
        <v>9</v>
      </c>
      <c r="B9" s="111"/>
      <c r="C9" s="111"/>
      <c r="D9" s="111" t="s">
        <v>11</v>
      </c>
      <c r="E9" s="109" t="s">
        <v>30</v>
      </c>
      <c r="F9" s="112" t="s">
        <v>12</v>
      </c>
      <c r="G9" s="111" t="s">
        <v>31</v>
      </c>
      <c r="H9" s="113" t="s">
        <v>32</v>
      </c>
      <c r="I9" s="111"/>
    </row>
    <row r="10" spans="1:9" s="114" customFormat="1" ht="48">
      <c r="A10" s="111" t="s">
        <v>9</v>
      </c>
      <c r="B10" s="111"/>
      <c r="C10" s="111" t="s">
        <v>9</v>
      </c>
      <c r="D10" s="111" t="s">
        <v>11</v>
      </c>
      <c r="E10" s="109" t="s">
        <v>33</v>
      </c>
      <c r="F10" s="112" t="s">
        <v>12</v>
      </c>
      <c r="G10" s="116" t="s">
        <v>34</v>
      </c>
      <c r="H10" s="113" t="s">
        <v>35</v>
      </c>
      <c r="I10" s="111"/>
    </row>
    <row r="11" spans="1:9" s="114" customFormat="1" ht="15.95">
      <c r="A11" s="111" t="s">
        <v>9</v>
      </c>
      <c r="B11" s="111"/>
      <c r="C11" s="111" t="s">
        <v>10</v>
      </c>
      <c r="D11" s="111" t="s">
        <v>11</v>
      </c>
      <c r="E11" s="109"/>
      <c r="F11" s="112" t="s">
        <v>12</v>
      </c>
      <c r="G11" s="111" t="s">
        <v>36</v>
      </c>
      <c r="H11" s="113" t="s">
        <v>37</v>
      </c>
      <c r="I11" s="111"/>
    </row>
    <row r="12" spans="1:9" s="114" customFormat="1">
      <c r="A12" s="111" t="s">
        <v>9</v>
      </c>
      <c r="B12" s="111"/>
      <c r="C12" s="111" t="s">
        <v>10</v>
      </c>
      <c r="D12" s="111" t="s">
        <v>11</v>
      </c>
      <c r="E12" s="109" t="s">
        <v>38</v>
      </c>
      <c r="F12" s="112" t="s">
        <v>12</v>
      </c>
      <c r="G12" s="111" t="s">
        <v>39</v>
      </c>
      <c r="H12" s="115" t="s">
        <v>40</v>
      </c>
      <c r="I12" s="111"/>
    </row>
    <row r="13" spans="1:9" s="114" customFormat="1">
      <c r="A13" s="111" t="s">
        <v>9</v>
      </c>
      <c r="B13" s="111"/>
      <c r="C13" s="111" t="s">
        <v>10</v>
      </c>
      <c r="D13" s="111" t="s">
        <v>41</v>
      </c>
      <c r="E13" s="109"/>
      <c r="F13" s="112" t="s">
        <v>12</v>
      </c>
      <c r="G13" s="111" t="s">
        <v>42</v>
      </c>
      <c r="H13" s="115" t="s">
        <v>43</v>
      </c>
      <c r="I13" s="111"/>
    </row>
    <row r="14" spans="1:9" s="114" customFormat="1">
      <c r="A14" s="111" t="s">
        <v>9</v>
      </c>
      <c r="B14" s="111"/>
      <c r="C14" s="111" t="s">
        <v>10</v>
      </c>
      <c r="D14" s="111" t="s">
        <v>11</v>
      </c>
      <c r="E14" s="109"/>
      <c r="F14" s="112" t="s">
        <v>12</v>
      </c>
      <c r="G14" s="111" t="s">
        <v>44</v>
      </c>
      <c r="H14" s="115" t="s">
        <v>45</v>
      </c>
      <c r="I14" s="111"/>
    </row>
    <row r="15" spans="1:9" s="114" customFormat="1">
      <c r="A15" s="111" t="s">
        <v>9</v>
      </c>
      <c r="B15" s="111"/>
      <c r="C15" s="111" t="s">
        <v>10</v>
      </c>
      <c r="D15" s="111" t="s">
        <v>46</v>
      </c>
      <c r="E15" s="109" t="s">
        <v>47</v>
      </c>
      <c r="F15" s="112" t="s">
        <v>12</v>
      </c>
      <c r="G15" s="111" t="s">
        <v>48</v>
      </c>
      <c r="H15" s="115" t="s">
        <v>49</v>
      </c>
      <c r="I15" s="111"/>
    </row>
    <row r="16" spans="1:9" s="114" customFormat="1">
      <c r="A16" s="111" t="s">
        <v>9</v>
      </c>
      <c r="B16" s="111"/>
      <c r="C16" s="111" t="s">
        <v>10</v>
      </c>
      <c r="D16" s="111" t="s">
        <v>50</v>
      </c>
      <c r="E16" s="109"/>
      <c r="F16" s="112" t="s">
        <v>12</v>
      </c>
      <c r="G16" s="111" t="s">
        <v>51</v>
      </c>
      <c r="H16" s="115" t="s">
        <v>52</v>
      </c>
      <c r="I16" s="111"/>
    </row>
    <row r="17" spans="1:9" s="114" customFormat="1">
      <c r="A17" s="111" t="s">
        <v>9</v>
      </c>
      <c r="B17" s="111"/>
      <c r="C17" s="111" t="s">
        <v>10</v>
      </c>
      <c r="D17" s="111" t="s">
        <v>53</v>
      </c>
      <c r="E17" s="109"/>
      <c r="F17" s="112" t="s">
        <v>12</v>
      </c>
      <c r="G17" s="111" t="s">
        <v>54</v>
      </c>
      <c r="H17" s="117" t="s">
        <v>55</v>
      </c>
      <c r="I17" s="111"/>
    </row>
    <row r="18" spans="1:9" s="114" customFormat="1">
      <c r="A18" s="111" t="s">
        <v>9</v>
      </c>
      <c r="B18" s="111"/>
      <c r="C18" s="111" t="s">
        <v>9</v>
      </c>
      <c r="D18" s="111" t="s">
        <v>11</v>
      </c>
      <c r="E18" s="109" t="s">
        <v>56</v>
      </c>
      <c r="F18" s="112" t="s">
        <v>12</v>
      </c>
      <c r="G18" s="111" t="s">
        <v>57</v>
      </c>
      <c r="H18" s="117"/>
      <c r="I18" s="111"/>
    </row>
    <row r="19" spans="1:9" s="114" customFormat="1">
      <c r="A19" s="111" t="s">
        <v>9</v>
      </c>
      <c r="B19" s="111"/>
      <c r="C19" s="111" t="s">
        <v>10</v>
      </c>
      <c r="D19" s="111" t="s">
        <v>11</v>
      </c>
      <c r="E19" s="109"/>
      <c r="F19" s="112" t="s">
        <v>12</v>
      </c>
      <c r="G19" s="111" t="s">
        <v>58</v>
      </c>
      <c r="H19" s="115" t="s">
        <v>10</v>
      </c>
      <c r="I19" s="111"/>
    </row>
    <row r="20" spans="1:9" s="114" customFormat="1">
      <c r="A20" s="111" t="s">
        <v>9</v>
      </c>
      <c r="B20" s="111"/>
      <c r="C20" s="111" t="s">
        <v>10</v>
      </c>
      <c r="D20" s="111" t="s">
        <v>11</v>
      </c>
      <c r="E20" s="109"/>
      <c r="F20" s="112" t="s">
        <v>12</v>
      </c>
      <c r="G20" s="111" t="s">
        <v>59</v>
      </c>
      <c r="H20" s="115" t="s">
        <v>10</v>
      </c>
      <c r="I20" s="111"/>
    </row>
    <row r="21" spans="1:9" s="114" customFormat="1" ht="15.95">
      <c r="A21" s="111" t="s">
        <v>9</v>
      </c>
      <c r="B21" s="111"/>
      <c r="C21" s="111" t="s">
        <v>9</v>
      </c>
      <c r="D21" s="111" t="s">
        <v>60</v>
      </c>
      <c r="E21" s="109" t="s">
        <v>61</v>
      </c>
      <c r="F21" s="112" t="s">
        <v>12</v>
      </c>
      <c r="G21" s="111" t="s">
        <v>62</v>
      </c>
      <c r="H21" s="110" t="s">
        <v>63</v>
      </c>
      <c r="I21" s="111"/>
    </row>
    <row r="22" spans="1:9" s="114" customFormat="1">
      <c r="A22" s="111" t="s">
        <v>9</v>
      </c>
      <c r="B22" s="111"/>
      <c r="C22" s="111" t="s">
        <v>10</v>
      </c>
      <c r="D22" s="111" t="s">
        <v>64</v>
      </c>
      <c r="E22" s="109" t="s">
        <v>65</v>
      </c>
      <c r="F22" s="112" t="s">
        <v>12</v>
      </c>
      <c r="G22" s="111" t="s">
        <v>66</v>
      </c>
      <c r="H22" s="118">
        <v>43101</v>
      </c>
      <c r="I22" s="111"/>
    </row>
    <row r="23" spans="1:9" s="114" customFormat="1">
      <c r="A23" s="111" t="s">
        <v>9</v>
      </c>
      <c r="B23" s="111"/>
      <c r="C23" s="115" t="s">
        <v>9</v>
      </c>
      <c r="D23" s="111" t="s">
        <v>67</v>
      </c>
      <c r="E23" s="109" t="s">
        <v>68</v>
      </c>
      <c r="F23" s="112" t="s">
        <v>12</v>
      </c>
      <c r="G23" s="115" t="s">
        <v>69</v>
      </c>
      <c r="H23" s="115" t="s">
        <v>70</v>
      </c>
      <c r="I23" s="111"/>
    </row>
    <row r="24" spans="1:9" s="114" customFormat="1">
      <c r="A24" s="111" t="s">
        <v>9</v>
      </c>
      <c r="B24" s="111"/>
      <c r="C24" s="115" t="s">
        <v>9</v>
      </c>
      <c r="D24" s="111" t="s">
        <v>67</v>
      </c>
      <c r="E24" s="109" t="s">
        <v>71</v>
      </c>
      <c r="F24" s="112" t="s">
        <v>12</v>
      </c>
      <c r="G24" s="115" t="s">
        <v>72</v>
      </c>
      <c r="H24" s="115" t="s">
        <v>70</v>
      </c>
      <c r="I24" s="111"/>
    </row>
    <row r="25" spans="1:9" s="114" customFormat="1">
      <c r="A25" s="111" t="s">
        <v>9</v>
      </c>
      <c r="B25" s="111"/>
      <c r="C25" s="115" t="s">
        <v>10</v>
      </c>
      <c r="D25" s="111" t="s">
        <v>11</v>
      </c>
      <c r="E25" s="109"/>
      <c r="F25" s="112" t="s">
        <v>12</v>
      </c>
      <c r="G25" s="115" t="s">
        <v>73</v>
      </c>
      <c r="H25" s="115" t="s">
        <v>74</v>
      </c>
      <c r="I25" s="111"/>
    </row>
    <row r="26" spans="1:9" s="114" customFormat="1">
      <c r="A26" s="111" t="s">
        <v>9</v>
      </c>
      <c r="B26" s="111"/>
      <c r="C26" s="115" t="s">
        <v>10</v>
      </c>
      <c r="D26" s="111" t="s">
        <v>11</v>
      </c>
      <c r="E26" s="109"/>
      <c r="F26" s="112" t="s">
        <v>12</v>
      </c>
      <c r="G26" s="114" t="s">
        <v>75</v>
      </c>
      <c r="H26" s="115"/>
      <c r="I26" s="111"/>
    </row>
    <row r="27" spans="1:9" s="114" customFormat="1">
      <c r="A27" s="111" t="s">
        <v>9</v>
      </c>
      <c r="B27" s="111"/>
      <c r="C27" s="115" t="s">
        <v>10</v>
      </c>
      <c r="D27" s="111" t="s">
        <v>11</v>
      </c>
      <c r="E27" s="109" t="s">
        <v>76</v>
      </c>
      <c r="F27" s="112" t="s">
        <v>12</v>
      </c>
      <c r="G27" s="114" t="s">
        <v>77</v>
      </c>
      <c r="H27" s="115"/>
      <c r="I27" s="111"/>
    </row>
    <row r="28" spans="1:9" s="114" customFormat="1">
      <c r="A28" s="111" t="s">
        <v>9</v>
      </c>
      <c r="B28" s="111"/>
      <c r="C28" s="115" t="s">
        <v>10</v>
      </c>
      <c r="D28" s="111" t="s">
        <v>11</v>
      </c>
      <c r="E28" s="109"/>
      <c r="F28" s="112" t="s">
        <v>12</v>
      </c>
      <c r="G28" s="114" t="s">
        <v>78</v>
      </c>
      <c r="H28" s="115"/>
      <c r="I28" s="111"/>
    </row>
    <row r="29" spans="1:9" s="8" customFormat="1" ht="32.1">
      <c r="A29" s="8" t="s">
        <v>9</v>
      </c>
      <c r="C29" s="10" t="s">
        <v>79</v>
      </c>
      <c r="D29" s="8" t="s">
        <v>80</v>
      </c>
      <c r="F29" s="8" t="s">
        <v>12</v>
      </c>
      <c r="G29" s="16" t="s">
        <v>81</v>
      </c>
      <c r="H29" s="10">
        <f>'Ex ante'!F30</f>
        <v>0</v>
      </c>
    </row>
    <row r="30" spans="1:9" s="5" customFormat="1" ht="18.95">
      <c r="A30" s="3"/>
      <c r="B30" s="3"/>
      <c r="C30" s="4"/>
      <c r="D30" s="4"/>
      <c r="E30" s="4"/>
      <c r="F30" s="4"/>
      <c r="G30" s="3" t="s">
        <v>82</v>
      </c>
      <c r="H30" s="4"/>
    </row>
    <row r="31" spans="1:9" s="105" customFormat="1" ht="168" customHeight="1">
      <c r="A31" s="105" t="s">
        <v>9</v>
      </c>
      <c r="C31" s="68" t="s">
        <v>10</v>
      </c>
      <c r="D31" s="105" t="s">
        <v>83</v>
      </c>
      <c r="F31" s="105" t="s">
        <v>12</v>
      </c>
      <c r="G31" s="107" t="s">
        <v>84</v>
      </c>
      <c r="H31" s="68" t="s">
        <v>85</v>
      </c>
    </row>
    <row r="32" spans="1:9" s="5" customFormat="1" ht="18.95">
      <c r="A32" s="3"/>
      <c r="B32" s="3"/>
      <c r="C32" s="4"/>
      <c r="D32" s="4"/>
      <c r="E32" s="4"/>
      <c r="F32" s="4"/>
      <c r="G32" s="3" t="s">
        <v>86</v>
      </c>
      <c r="H32" s="4"/>
    </row>
    <row r="33" spans="1:8" s="8" customFormat="1" ht="33">
      <c r="A33" s="8" t="s">
        <v>10</v>
      </c>
      <c r="C33" s="8" t="s">
        <v>10</v>
      </c>
      <c r="D33" s="8" t="s">
        <v>80</v>
      </c>
      <c r="F33" s="12" t="s">
        <v>87</v>
      </c>
      <c r="G33" s="11" t="s">
        <v>88</v>
      </c>
      <c r="H33" s="10">
        <v>0.1</v>
      </c>
    </row>
    <row r="34" spans="1:8" s="8" customFormat="1" ht="17.100000000000001">
      <c r="A34" s="8" t="s">
        <v>10</v>
      </c>
      <c r="C34" s="8" t="s">
        <v>10</v>
      </c>
      <c r="D34" s="8" t="s">
        <v>80</v>
      </c>
      <c r="F34" s="13" t="s">
        <v>89</v>
      </c>
      <c r="G34" s="11" t="s">
        <v>90</v>
      </c>
      <c r="H34" s="10">
        <v>25</v>
      </c>
    </row>
    <row r="35" spans="1:8" s="8" customFormat="1" ht="49.5" customHeight="1">
      <c r="A35" s="8" t="s">
        <v>10</v>
      </c>
      <c r="C35" s="8" t="s">
        <v>10</v>
      </c>
      <c r="D35" s="8" t="s">
        <v>80</v>
      </c>
      <c r="F35" s="13" t="s">
        <v>91</v>
      </c>
      <c r="G35" s="9" t="s">
        <v>92</v>
      </c>
      <c r="H35" s="10">
        <v>2.2000000000000002</v>
      </c>
    </row>
    <row r="36" spans="1:8" s="8" customFormat="1" ht="45" customHeight="1">
      <c r="A36" s="8" t="s">
        <v>10</v>
      </c>
      <c r="C36" s="8" t="s">
        <v>10</v>
      </c>
      <c r="D36" s="8" t="s">
        <v>80</v>
      </c>
      <c r="F36" s="13" t="s">
        <v>93</v>
      </c>
      <c r="G36" s="9" t="s">
        <v>94</v>
      </c>
      <c r="H36" s="10">
        <v>5.04E-2</v>
      </c>
    </row>
    <row r="37" spans="1:8" s="5" customFormat="1" ht="18.95">
      <c r="A37" s="3"/>
      <c r="B37" s="3"/>
      <c r="C37" s="4"/>
      <c r="D37" s="4"/>
      <c r="E37" s="4"/>
      <c r="F37" s="4"/>
      <c r="G37" s="3" t="s">
        <v>95</v>
      </c>
      <c r="H37" s="4"/>
    </row>
    <row r="38" spans="1:8" s="8" customFormat="1" ht="17.100000000000001">
      <c r="A38" s="8" t="s">
        <v>10</v>
      </c>
      <c r="C38" s="8" t="s">
        <v>9</v>
      </c>
      <c r="D38" s="8" t="s">
        <v>80</v>
      </c>
      <c r="F38" s="13" t="s">
        <v>96</v>
      </c>
      <c r="G38" s="9" t="s">
        <v>97</v>
      </c>
      <c r="H38" s="10" t="e">
        <f>H39+H40+H41+H42</f>
        <v>#VALUE!</v>
      </c>
    </row>
    <row r="39" spans="1:8" s="8" customFormat="1" ht="33.950000000000003" customHeight="1">
      <c r="A39" s="8" t="s">
        <v>10</v>
      </c>
      <c r="C39" s="8" t="s">
        <v>9</v>
      </c>
      <c r="D39" s="8" t="s">
        <v>80</v>
      </c>
      <c r="F39" s="13" t="s">
        <v>98</v>
      </c>
      <c r="G39" s="11" t="s">
        <v>99</v>
      </c>
      <c r="H39" s="10" t="e">
        <f>((1-H33)*H43-H44)*H34</f>
        <v>#VALUE!</v>
      </c>
    </row>
    <row r="40" spans="1:8" s="8" customFormat="1" ht="33">
      <c r="A40" s="8" t="s">
        <v>9</v>
      </c>
      <c r="C40" s="8" t="s">
        <v>9</v>
      </c>
      <c r="D40" s="8" t="s">
        <v>80</v>
      </c>
      <c r="F40" s="13" t="s">
        <v>100</v>
      </c>
      <c r="G40" s="9" t="s">
        <v>101</v>
      </c>
      <c r="H40" s="10">
        <f>'Tool 05.1'!G11</f>
        <v>1.1287499999999999</v>
      </c>
    </row>
    <row r="41" spans="1:8" s="8" customFormat="1" ht="33">
      <c r="A41" s="8" t="s">
        <v>10</v>
      </c>
      <c r="C41" s="8" t="s">
        <v>9</v>
      </c>
      <c r="D41" s="8" t="s">
        <v>80</v>
      </c>
      <c r="F41" s="13" t="s">
        <v>102</v>
      </c>
      <c r="G41" s="9" t="s">
        <v>103</v>
      </c>
      <c r="H41" s="23" t="e">
        <f>H36*SUM(H56,H65)</f>
        <v>#VALUE!</v>
      </c>
    </row>
    <row r="42" spans="1:8" s="8" customFormat="1" ht="33">
      <c r="A42" s="8" t="s">
        <v>10</v>
      </c>
      <c r="C42" s="8" t="s">
        <v>9</v>
      </c>
      <c r="D42" s="8" t="s">
        <v>80</v>
      </c>
      <c r="F42" s="13" t="s">
        <v>104</v>
      </c>
      <c r="G42" s="9" t="s">
        <v>105</v>
      </c>
      <c r="H42" s="10">
        <f>0.0504*H50*H49</f>
        <v>0</v>
      </c>
    </row>
    <row r="43" spans="1:8" s="8" customFormat="1" ht="33">
      <c r="A43" s="8" t="s">
        <v>9</v>
      </c>
      <c r="C43" s="8" t="s">
        <v>10</v>
      </c>
      <c r="D43" s="8" t="s">
        <v>80</v>
      </c>
      <c r="F43" s="13" t="s">
        <v>106</v>
      </c>
      <c r="G43" s="9" t="s">
        <v>107</v>
      </c>
      <c r="H43" s="10">
        <f>'Ex post'!F3</f>
        <v>-820.93164366601764</v>
      </c>
    </row>
    <row r="44" spans="1:8" s="8" customFormat="1" ht="69" customHeight="1">
      <c r="A44" s="8" t="s">
        <v>9</v>
      </c>
      <c r="C44" s="8" t="s">
        <v>10</v>
      </c>
      <c r="D44" s="8" t="s">
        <v>80</v>
      </c>
      <c r="F44" s="13" t="s">
        <v>108</v>
      </c>
      <c r="G44" s="9" t="s">
        <v>109</v>
      </c>
      <c r="H44" s="16" t="s">
        <v>110</v>
      </c>
    </row>
    <row r="45" spans="1:8" ht="32.1">
      <c r="A45" t="s">
        <v>9</v>
      </c>
      <c r="C45" t="s">
        <v>9</v>
      </c>
      <c r="D45" t="s">
        <v>111</v>
      </c>
      <c r="F45" s="14" t="s">
        <v>112</v>
      </c>
      <c r="G45" s="6" t="s">
        <v>113</v>
      </c>
      <c r="H45" s="7"/>
    </row>
    <row r="46" spans="1:8" ht="45" customHeight="1">
      <c r="A46" t="s">
        <v>9</v>
      </c>
      <c r="C46" t="s">
        <v>9</v>
      </c>
      <c r="D46" t="s">
        <v>111</v>
      </c>
      <c r="F46" s="14" t="s">
        <v>114</v>
      </c>
      <c r="G46" s="6" t="s">
        <v>115</v>
      </c>
      <c r="H46" s="7"/>
    </row>
    <row r="47" spans="1:8" s="105" customFormat="1" ht="60.75" customHeight="1">
      <c r="A47" s="105" t="s">
        <v>9</v>
      </c>
      <c r="C47" s="105" t="s">
        <v>10</v>
      </c>
      <c r="D47" s="105" t="s">
        <v>83</v>
      </c>
      <c r="F47" s="105" t="s">
        <v>12</v>
      </c>
      <c r="G47" s="106" t="s">
        <v>116</v>
      </c>
      <c r="H47" s="68" t="s">
        <v>117</v>
      </c>
    </row>
    <row r="48" spans="1:8" s="8" customFormat="1" ht="33">
      <c r="A48" s="8" t="s">
        <v>9</v>
      </c>
      <c r="C48" s="8" t="s">
        <v>10</v>
      </c>
      <c r="D48" s="8" t="s">
        <v>80</v>
      </c>
      <c r="F48" s="13" t="s">
        <v>118</v>
      </c>
      <c r="G48" s="9" t="s">
        <v>119</v>
      </c>
      <c r="H48" s="10" t="s">
        <v>120</v>
      </c>
    </row>
    <row r="49" spans="1:8" ht="48.95">
      <c r="A49" t="s">
        <v>9</v>
      </c>
      <c r="C49" t="s">
        <v>9</v>
      </c>
      <c r="D49" t="s">
        <v>111</v>
      </c>
      <c r="F49" s="14" t="s">
        <v>121</v>
      </c>
      <c r="G49" s="6" t="s">
        <v>122</v>
      </c>
      <c r="H49" s="7"/>
    </row>
    <row r="50" spans="1:8" ht="48.95">
      <c r="A50" t="s">
        <v>9</v>
      </c>
      <c r="C50" t="s">
        <v>9</v>
      </c>
      <c r="D50" t="s">
        <v>111</v>
      </c>
      <c r="F50" s="14" t="s">
        <v>123</v>
      </c>
      <c r="G50" s="6" t="s">
        <v>124</v>
      </c>
      <c r="H50" s="7"/>
    </row>
    <row r="51" spans="1:8" s="5" customFormat="1" ht="18.95">
      <c r="A51" s="3"/>
      <c r="B51" s="3"/>
      <c r="C51" s="4"/>
      <c r="D51" s="4"/>
      <c r="E51" s="4"/>
      <c r="F51" s="4"/>
      <c r="G51" s="3" t="s">
        <v>125</v>
      </c>
      <c r="H51" s="4"/>
    </row>
    <row r="52" spans="1:8" ht="33">
      <c r="A52" t="s">
        <v>9</v>
      </c>
      <c r="C52" t="s">
        <v>9</v>
      </c>
      <c r="D52" t="s">
        <v>111</v>
      </c>
      <c r="F52" s="14" t="s">
        <v>118</v>
      </c>
      <c r="G52" s="6" t="s">
        <v>119</v>
      </c>
      <c r="H52" s="7"/>
    </row>
    <row r="53" spans="1:8" s="5" customFormat="1" ht="18.95">
      <c r="A53" s="3"/>
      <c r="B53" s="3"/>
      <c r="C53" s="4"/>
      <c r="D53" s="4"/>
      <c r="E53" s="4"/>
      <c r="F53" s="4"/>
      <c r="G53" s="3" t="s">
        <v>126</v>
      </c>
      <c r="H53" s="4"/>
    </row>
    <row r="54" spans="1:8" s="8" customFormat="1" ht="33">
      <c r="A54" s="8" t="s">
        <v>10</v>
      </c>
      <c r="C54" s="8" t="s">
        <v>10</v>
      </c>
      <c r="D54" s="8" t="s">
        <v>80</v>
      </c>
      <c r="F54" s="8" t="s">
        <v>127</v>
      </c>
      <c r="G54" s="9" t="s">
        <v>119</v>
      </c>
      <c r="H54" s="10">
        <v>0.6</v>
      </c>
    </row>
    <row r="55" spans="1:8" s="5" customFormat="1" ht="18.95">
      <c r="A55" s="3"/>
      <c r="B55" s="3"/>
      <c r="C55" s="4"/>
      <c r="D55" s="4"/>
      <c r="E55" s="4"/>
      <c r="F55" s="4"/>
      <c r="G55" s="3" t="s">
        <v>128</v>
      </c>
      <c r="H55" s="4"/>
    </row>
    <row r="56" spans="1:8" s="8" customFormat="1" ht="32.1">
      <c r="A56" s="8" t="s">
        <v>10</v>
      </c>
      <c r="C56" s="8" t="s">
        <v>9</v>
      </c>
      <c r="D56" s="8" t="s">
        <v>80</v>
      </c>
      <c r="F56" s="13" t="s">
        <v>129</v>
      </c>
      <c r="G56" s="9" t="s">
        <v>130</v>
      </c>
      <c r="H56" s="10" t="e">
        <f>H57*H59*H60</f>
        <v>#VALUE!</v>
      </c>
    </row>
    <row r="57" spans="1:8" s="8" customFormat="1" ht="33">
      <c r="A57" s="8" t="s">
        <v>10</v>
      </c>
      <c r="C57" s="8" t="s">
        <v>9</v>
      </c>
      <c r="D57" s="8" t="s">
        <v>80</v>
      </c>
      <c r="F57" s="13" t="s">
        <v>131</v>
      </c>
      <c r="G57" s="9" t="s">
        <v>132</v>
      </c>
      <c r="H57" s="10" t="e">
        <f>MIN(1, H63/H61)</f>
        <v>#VALUE!</v>
      </c>
    </row>
    <row r="58" spans="1:8" s="105" customFormat="1" ht="15.95">
      <c r="A58" s="105" t="s">
        <v>9</v>
      </c>
      <c r="C58" s="105" t="s">
        <v>10</v>
      </c>
      <c r="D58" s="105" t="s">
        <v>83</v>
      </c>
      <c r="F58" s="105" t="s">
        <v>12</v>
      </c>
      <c r="G58" s="106" t="s">
        <v>133</v>
      </c>
      <c r="H58" s="68" t="s">
        <v>134</v>
      </c>
    </row>
    <row r="59" spans="1:8" s="8" customFormat="1" ht="48.95">
      <c r="A59" s="8" t="s">
        <v>9</v>
      </c>
      <c r="C59" s="8" t="s">
        <v>10</v>
      </c>
      <c r="D59" s="8" t="s">
        <v>80</v>
      </c>
      <c r="F59" s="13" t="s">
        <v>135</v>
      </c>
      <c r="G59" s="9" t="s">
        <v>136</v>
      </c>
      <c r="H59" s="16" t="s">
        <v>137</v>
      </c>
    </row>
    <row r="60" spans="1:8" ht="59.1" customHeight="1">
      <c r="A60" t="s">
        <v>9</v>
      </c>
      <c r="C60" t="s">
        <v>9</v>
      </c>
      <c r="D60" t="s">
        <v>111</v>
      </c>
      <c r="F60" s="14" t="s">
        <v>138</v>
      </c>
      <c r="G60" s="6" t="s">
        <v>139</v>
      </c>
      <c r="H60" s="7" t="s">
        <v>140</v>
      </c>
    </row>
    <row r="61" spans="1:8" ht="33">
      <c r="A61" t="s">
        <v>9</v>
      </c>
      <c r="C61" t="s">
        <v>9</v>
      </c>
      <c r="D61" t="s">
        <v>111</v>
      </c>
      <c r="F61" s="14" t="s">
        <v>114</v>
      </c>
      <c r="G61" s="6" t="s">
        <v>115</v>
      </c>
      <c r="H61" s="7"/>
    </row>
    <row r="62" spans="1:8" s="105" customFormat="1" ht="48">
      <c r="A62" s="105" t="s">
        <v>9</v>
      </c>
      <c r="C62" s="105" t="s">
        <v>10</v>
      </c>
      <c r="D62" s="105" t="s">
        <v>83</v>
      </c>
      <c r="F62" s="105" t="s">
        <v>12</v>
      </c>
      <c r="G62" s="106" t="s">
        <v>116</v>
      </c>
      <c r="H62" s="68" t="s">
        <v>117</v>
      </c>
    </row>
    <row r="63" spans="1:8" s="8" customFormat="1" ht="33">
      <c r="A63" s="8" t="s">
        <v>9</v>
      </c>
      <c r="C63" s="8" t="s">
        <v>10</v>
      </c>
      <c r="D63" s="8" t="s">
        <v>80</v>
      </c>
      <c r="F63" s="13" t="s">
        <v>118</v>
      </c>
      <c r="G63" s="9" t="s">
        <v>119</v>
      </c>
      <c r="H63" s="10" t="s">
        <v>120</v>
      </c>
    </row>
    <row r="64" spans="1:8" s="5" customFormat="1" ht="18.95">
      <c r="A64" s="3"/>
      <c r="B64" s="3"/>
      <c r="C64" s="4"/>
      <c r="D64" s="4"/>
      <c r="E64" s="4"/>
      <c r="F64" s="4"/>
      <c r="G64" s="3" t="s">
        <v>128</v>
      </c>
      <c r="H64" s="4"/>
    </row>
    <row r="65" spans="1:8" s="8" customFormat="1" ht="32.1">
      <c r="A65" s="8" t="s">
        <v>10</v>
      </c>
      <c r="C65" s="8" t="s">
        <v>9</v>
      </c>
      <c r="D65" s="8" t="s">
        <v>80</v>
      </c>
      <c r="F65" s="13" t="s">
        <v>129</v>
      </c>
      <c r="G65" s="9" t="s">
        <v>130</v>
      </c>
      <c r="H65" s="10" t="e">
        <f>H66*H68*H69</f>
        <v>#VALUE!</v>
      </c>
    </row>
    <row r="66" spans="1:8" s="8" customFormat="1" ht="33">
      <c r="A66" s="8" t="s">
        <v>10</v>
      </c>
      <c r="C66" s="8" t="s">
        <v>9</v>
      </c>
      <c r="D66" s="8" t="s">
        <v>80</v>
      </c>
      <c r="F66" s="13" t="s">
        <v>131</v>
      </c>
      <c r="G66" s="9" t="s">
        <v>132</v>
      </c>
      <c r="H66" s="10" t="e">
        <f>MIN(1, H72/H70)</f>
        <v>#VALUE!</v>
      </c>
    </row>
    <row r="67" spans="1:8" s="105" customFormat="1" ht="15.95">
      <c r="A67" s="105" t="s">
        <v>9</v>
      </c>
      <c r="C67" s="105" t="s">
        <v>10</v>
      </c>
      <c r="D67" s="105" t="s">
        <v>83</v>
      </c>
      <c r="F67" s="105" t="s">
        <v>12</v>
      </c>
      <c r="G67" s="106" t="s">
        <v>133</v>
      </c>
      <c r="H67" s="68" t="s">
        <v>134</v>
      </c>
    </row>
    <row r="68" spans="1:8" s="8" customFormat="1" ht="48.95">
      <c r="A68" s="8" t="s">
        <v>9</v>
      </c>
      <c r="C68" s="8" t="s">
        <v>10</v>
      </c>
      <c r="D68" s="8" t="s">
        <v>80</v>
      </c>
      <c r="F68" s="13" t="s">
        <v>135</v>
      </c>
      <c r="G68" s="9" t="s">
        <v>136</v>
      </c>
      <c r="H68" s="16" t="s">
        <v>137</v>
      </c>
    </row>
    <row r="69" spans="1:8" ht="59.1" customHeight="1">
      <c r="A69" t="s">
        <v>9</v>
      </c>
      <c r="C69" t="s">
        <v>9</v>
      </c>
      <c r="D69" t="s">
        <v>111</v>
      </c>
      <c r="F69" s="14" t="s">
        <v>138</v>
      </c>
      <c r="G69" s="6" t="s">
        <v>139</v>
      </c>
      <c r="H69" s="7" t="s">
        <v>140</v>
      </c>
    </row>
    <row r="70" spans="1:8" ht="33">
      <c r="A70" t="s">
        <v>9</v>
      </c>
      <c r="C70" t="s">
        <v>9</v>
      </c>
      <c r="D70" t="s">
        <v>111</v>
      </c>
      <c r="F70" s="14" t="s">
        <v>114</v>
      </c>
      <c r="G70" s="6" t="s">
        <v>115</v>
      </c>
      <c r="H70" s="7"/>
    </row>
    <row r="71" spans="1:8" s="105" customFormat="1" ht="48">
      <c r="A71" s="105" t="s">
        <v>9</v>
      </c>
      <c r="C71" s="105" t="s">
        <v>10</v>
      </c>
      <c r="D71" s="105" t="s">
        <v>83</v>
      </c>
      <c r="F71" s="105" t="s">
        <v>12</v>
      </c>
      <c r="G71" s="106" t="s">
        <v>116</v>
      </c>
      <c r="H71" s="68" t="s">
        <v>117</v>
      </c>
    </row>
    <row r="72" spans="1:8" s="8" customFormat="1" ht="33">
      <c r="A72" s="8" t="s">
        <v>9</v>
      </c>
      <c r="C72" s="8" t="s">
        <v>10</v>
      </c>
      <c r="D72" s="8" t="s">
        <v>80</v>
      </c>
      <c r="F72" s="13" t="s">
        <v>118</v>
      </c>
      <c r="G72" s="9" t="s">
        <v>119</v>
      </c>
      <c r="H72" s="10" t="s">
        <v>141</v>
      </c>
    </row>
    <row r="73" spans="1:8" s="5" customFormat="1" ht="18.95">
      <c r="A73" s="3"/>
      <c r="B73" s="3"/>
      <c r="C73" s="4"/>
      <c r="D73" s="4"/>
      <c r="E73" s="4"/>
      <c r="F73" s="4"/>
      <c r="G73" s="3" t="s">
        <v>142</v>
      </c>
      <c r="H73" s="4"/>
    </row>
    <row r="74" spans="1:8" s="8" customFormat="1" ht="17.100000000000001">
      <c r="A74" s="8" t="s">
        <v>10</v>
      </c>
      <c r="C74" s="8" t="s">
        <v>9</v>
      </c>
      <c r="D74" s="8" t="s">
        <v>80</v>
      </c>
      <c r="F74" s="13" t="s">
        <v>143</v>
      </c>
      <c r="G74" s="9" t="s">
        <v>144</v>
      </c>
      <c r="H74" s="10">
        <f>H75+H76+H77+H78</f>
        <v>74.068333333333328</v>
      </c>
    </row>
    <row r="75" spans="1:8" s="8" customFormat="1" ht="33">
      <c r="A75" s="8" t="s">
        <v>10</v>
      </c>
      <c r="C75" s="8" t="s">
        <v>9</v>
      </c>
      <c r="D75" s="8" t="s">
        <v>80</v>
      </c>
      <c r="F75" s="8" t="s">
        <v>145</v>
      </c>
      <c r="G75" s="9" t="s">
        <v>146</v>
      </c>
      <c r="H75" s="10">
        <f>'Tool 05.1'!G6</f>
        <v>0.73499999999999999</v>
      </c>
    </row>
    <row r="76" spans="1:8" s="8" customFormat="1" ht="48.95">
      <c r="A76" s="8" t="s">
        <v>10</v>
      </c>
      <c r="C76" s="8" t="s">
        <v>9</v>
      </c>
      <c r="D76" s="8" t="s">
        <v>80</v>
      </c>
      <c r="F76" s="8" t="s">
        <v>147</v>
      </c>
      <c r="G76" s="9" t="s">
        <v>148</v>
      </c>
      <c r="H76" s="10">
        <f>'(Revised) Tool 03'!G3</f>
        <v>73.333333333333329</v>
      </c>
    </row>
    <row r="77" spans="1:8" s="8" customFormat="1" ht="33">
      <c r="A77" s="8" t="s">
        <v>10</v>
      </c>
      <c r="C77" s="8" t="s">
        <v>9</v>
      </c>
      <c r="D77" s="8" t="s">
        <v>80</v>
      </c>
      <c r="F77" s="8" t="s">
        <v>149</v>
      </c>
      <c r="G77" s="9" t="s">
        <v>150</v>
      </c>
      <c r="H77" s="10">
        <f>H79+H80</f>
        <v>0</v>
      </c>
    </row>
    <row r="78" spans="1:8" s="8" customFormat="1" ht="33.950000000000003" customHeight="1">
      <c r="A78" s="8" t="s">
        <v>10</v>
      </c>
      <c r="C78" s="8" t="s">
        <v>9</v>
      </c>
      <c r="D78" s="8" t="s">
        <v>80</v>
      </c>
      <c r="F78" s="8" t="s">
        <v>151</v>
      </c>
      <c r="G78" s="9" t="s">
        <v>152</v>
      </c>
      <c r="H78" s="10">
        <f>0.0504*H35*H50</f>
        <v>0</v>
      </c>
    </row>
    <row r="79" spans="1:8" ht="33">
      <c r="A79" t="s">
        <v>9</v>
      </c>
      <c r="C79" t="s">
        <v>9</v>
      </c>
      <c r="D79" t="s">
        <v>153</v>
      </c>
      <c r="F79" t="s">
        <v>154</v>
      </c>
      <c r="G79" s="6" t="s">
        <v>155</v>
      </c>
      <c r="H79" s="7"/>
    </row>
    <row r="80" spans="1:8" s="8" customFormat="1" ht="33">
      <c r="A80" s="8" t="s">
        <v>10</v>
      </c>
      <c r="C80" s="8" t="s">
        <v>9</v>
      </c>
      <c r="D80" s="8" t="s">
        <v>80</v>
      </c>
      <c r="F80" s="8" t="s">
        <v>156</v>
      </c>
      <c r="G80" s="9" t="s">
        <v>157</v>
      </c>
      <c r="H80" s="10">
        <f>H34*(H81-H82)</f>
        <v>0</v>
      </c>
    </row>
    <row r="81" spans="1:8" ht="17.100000000000001">
      <c r="A81" t="s">
        <v>9</v>
      </c>
      <c r="C81" t="s">
        <v>9</v>
      </c>
      <c r="D81" t="s">
        <v>153</v>
      </c>
      <c r="F81" t="s">
        <v>158</v>
      </c>
      <c r="G81" s="6" t="s">
        <v>159</v>
      </c>
    </row>
    <row r="82" spans="1:8" ht="35.1" customHeight="1">
      <c r="A82" t="s">
        <v>9</v>
      </c>
      <c r="C82" t="s">
        <v>9</v>
      </c>
      <c r="D82" t="s">
        <v>153</v>
      </c>
      <c r="F82" t="s">
        <v>160</v>
      </c>
      <c r="G82" s="6" t="s">
        <v>161</v>
      </c>
      <c r="H82" s="7"/>
    </row>
    <row r="83" spans="1:8" s="5" customFormat="1" ht="18.95">
      <c r="A83" s="3"/>
      <c r="B83" s="3"/>
      <c r="C83" s="4"/>
      <c r="D83" s="4"/>
      <c r="E83" s="4"/>
      <c r="F83" s="4"/>
      <c r="G83" s="3" t="s">
        <v>162</v>
      </c>
      <c r="H83" s="4"/>
    </row>
    <row r="84" spans="1:8" s="8" customFormat="1" ht="17.100000000000001">
      <c r="A84" s="8" t="s">
        <v>10</v>
      </c>
      <c r="C84" s="8" t="s">
        <v>9</v>
      </c>
      <c r="D84" s="8" t="s">
        <v>80</v>
      </c>
      <c r="E84" s="122" t="s">
        <v>163</v>
      </c>
      <c r="F84" s="13" t="s">
        <v>164</v>
      </c>
      <c r="G84" s="9" t="s">
        <v>165</v>
      </c>
      <c r="H84" s="10" t="e">
        <f>H85-H86</f>
        <v>#VALUE!</v>
      </c>
    </row>
    <row r="85" spans="1:8" s="8" customFormat="1" ht="17.100000000000001">
      <c r="A85" s="8" t="s">
        <v>10</v>
      </c>
      <c r="C85" s="8" t="s">
        <v>9</v>
      </c>
      <c r="D85" s="8" t="s">
        <v>80</v>
      </c>
      <c r="E85" s="122" t="s">
        <v>166</v>
      </c>
      <c r="F85" s="13" t="s">
        <v>167</v>
      </c>
      <c r="G85" s="9" t="s">
        <v>97</v>
      </c>
      <c r="H85" s="10" t="e">
        <f>H38</f>
        <v>#VALUE!</v>
      </c>
    </row>
    <row r="86" spans="1:8" s="8" customFormat="1" ht="17.100000000000001">
      <c r="A86" s="8" t="s">
        <v>10</v>
      </c>
      <c r="C86" s="8" t="s">
        <v>9</v>
      </c>
      <c r="D86" s="8" t="s">
        <v>80</v>
      </c>
      <c r="E86" s="122" t="s">
        <v>168</v>
      </c>
      <c r="F86" s="13" t="s">
        <v>169</v>
      </c>
      <c r="G86" s="9" t="s">
        <v>144</v>
      </c>
      <c r="H86" s="10">
        <f>H74</f>
        <v>74.068333333333328</v>
      </c>
    </row>
  </sheetData>
  <hyperlinks>
    <hyperlink ref="H17" r:id="rId1" xr:uid="{FDC4A634-2A6A-3848-808B-0892DF5417F8}"/>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B98911D8-5D7D-734B-A0DC-916A98DAF0FA}">
          <x14:formula1>
            <xm:f>'IWA Properties'!$A$2:$A$277</xm:f>
          </x14:formula1>
          <xm:sqref>E3:E28 E84:E86</xm:sqref>
        </x14:dataValidation>
        <x14:dataValidation type="list" allowBlank="1" showInputMessage="1" showErrorMessage="1" xr:uid="{492390B0-A465-D743-B893-5FABB1D0036D}">
          <x14:formula1>
            <xm:f>'IWA Properties'!$B$2:$B$481</xm:f>
          </x14:formula1>
          <xm:sqref>H21</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95D3C-CAF1-C647-83DB-73E11AB2A75D}">
  <dimension ref="A1:F116"/>
  <sheetViews>
    <sheetView zoomScale="102" workbookViewId="0">
      <selection activeCell="D2" sqref="D2"/>
    </sheetView>
  </sheetViews>
  <sheetFormatPr defaultColWidth="11.42578125" defaultRowHeight="15"/>
  <cols>
    <col min="1" max="1" width="18.42578125" customWidth="1"/>
    <col min="2" max="3" width="16.7109375" customWidth="1"/>
    <col min="4" max="4" width="44.28515625" customWidth="1"/>
    <col min="5" max="5" width="27.7109375" customWidth="1"/>
    <col min="6" max="6" width="140.85546875" customWidth="1"/>
  </cols>
  <sheetData>
    <row r="1" spans="1:6" s="1" customFormat="1" ht="18.95">
      <c r="A1" s="1" t="s">
        <v>0</v>
      </c>
      <c r="B1" s="1" t="s">
        <v>3</v>
      </c>
      <c r="C1" s="1" t="s">
        <v>5</v>
      </c>
      <c r="D1" s="2" t="s">
        <v>6</v>
      </c>
      <c r="E1" s="2" t="s">
        <v>2</v>
      </c>
      <c r="F1" s="1" t="s">
        <v>7</v>
      </c>
    </row>
    <row r="2" spans="1:6" s="105" customFormat="1" ht="186.75" customHeight="1">
      <c r="A2" s="105" t="s">
        <v>9</v>
      </c>
      <c r="B2" s="105" t="s">
        <v>83</v>
      </c>
      <c r="C2" s="105" t="s">
        <v>12</v>
      </c>
      <c r="D2" s="106" t="s">
        <v>247</v>
      </c>
      <c r="E2" s="105" t="s">
        <v>248</v>
      </c>
      <c r="F2" s="108" t="s">
        <v>249</v>
      </c>
    </row>
    <row r="3" spans="1:6" s="105" customFormat="1" ht="63.95" customHeight="1">
      <c r="A3" s="105" t="s">
        <v>9</v>
      </c>
      <c r="B3" s="105" t="s">
        <v>83</v>
      </c>
      <c r="C3" s="105" t="s">
        <v>12</v>
      </c>
      <c r="D3" s="106" t="s">
        <v>250</v>
      </c>
      <c r="E3" s="105" t="s">
        <v>248</v>
      </c>
      <c r="F3" s="108" t="s">
        <v>251</v>
      </c>
    </row>
    <row r="4" spans="1:6" s="5" customFormat="1" ht="18.95">
      <c r="A4" s="3"/>
      <c r="B4" s="4"/>
      <c r="C4" s="4"/>
      <c r="D4" s="3" t="s">
        <v>252</v>
      </c>
      <c r="E4" s="4"/>
      <c r="F4" s="4"/>
    </row>
    <row r="5" spans="1:6" s="8" customFormat="1" ht="24.95" customHeight="1">
      <c r="A5" s="8" t="s">
        <v>10</v>
      </c>
      <c r="B5" s="8" t="s">
        <v>253</v>
      </c>
      <c r="C5" s="8" t="s">
        <v>254</v>
      </c>
      <c r="D5" s="9" t="s">
        <v>255</v>
      </c>
      <c r="E5" s="8" t="s">
        <v>248</v>
      </c>
      <c r="F5" s="18">
        <v>8314</v>
      </c>
    </row>
    <row r="6" spans="1:6" s="8" customFormat="1" ht="24.95" customHeight="1">
      <c r="A6" s="8" t="s">
        <v>10</v>
      </c>
      <c r="B6" s="8" t="s">
        <v>253</v>
      </c>
      <c r="C6" s="8" t="s">
        <v>256</v>
      </c>
      <c r="D6" s="9" t="s">
        <v>257</v>
      </c>
      <c r="E6" s="8" t="s">
        <v>248</v>
      </c>
      <c r="F6" s="20">
        <v>18.0152</v>
      </c>
    </row>
    <row r="7" spans="1:6" s="8" customFormat="1" ht="24.95" customHeight="1">
      <c r="A7" s="8" t="s">
        <v>10</v>
      </c>
      <c r="B7" s="8" t="s">
        <v>253</v>
      </c>
      <c r="C7" s="8" t="s">
        <v>258</v>
      </c>
      <c r="D7" s="9" t="s">
        <v>259</v>
      </c>
      <c r="E7" s="8" t="s">
        <v>248</v>
      </c>
      <c r="F7" s="18">
        <v>101325</v>
      </c>
    </row>
    <row r="8" spans="1:6" s="8" customFormat="1" ht="24.95" customHeight="1">
      <c r="A8" s="8" t="s">
        <v>10</v>
      </c>
      <c r="B8" s="8" t="s">
        <v>253</v>
      </c>
      <c r="C8" s="8" t="s">
        <v>260</v>
      </c>
      <c r="D8" s="9" t="s">
        <v>261</v>
      </c>
      <c r="E8" s="8" t="s">
        <v>248</v>
      </c>
      <c r="F8" s="18">
        <v>273.14999999999998</v>
      </c>
    </row>
    <row r="9" spans="1:6" s="5" customFormat="1" ht="18.95">
      <c r="A9" s="3"/>
      <c r="B9" s="4"/>
      <c r="C9" s="4"/>
      <c r="D9" s="3" t="s">
        <v>262</v>
      </c>
      <c r="E9" s="4"/>
      <c r="F9" s="4"/>
    </row>
    <row r="10" spans="1:6" s="8" customFormat="1" ht="24.95" customHeight="1">
      <c r="A10" s="8" t="s">
        <v>10</v>
      </c>
      <c r="B10" s="8" t="s">
        <v>253</v>
      </c>
      <c r="C10" s="8" t="s">
        <v>263</v>
      </c>
      <c r="D10" s="9" t="s">
        <v>264</v>
      </c>
      <c r="E10" s="8" t="s">
        <v>248</v>
      </c>
      <c r="F10" s="19">
        <v>28.01</v>
      </c>
    </row>
    <row r="11" spans="1:6" s="8" customFormat="1" ht="24.95" customHeight="1">
      <c r="A11" s="8" t="s">
        <v>10</v>
      </c>
      <c r="B11" s="8" t="s">
        <v>253</v>
      </c>
      <c r="C11" s="8" t="s">
        <v>263</v>
      </c>
      <c r="D11" s="9" t="s">
        <v>265</v>
      </c>
      <c r="E11" s="8" t="s">
        <v>248</v>
      </c>
      <c r="F11" s="19">
        <v>32</v>
      </c>
    </row>
    <row r="12" spans="1:6" s="8" customFormat="1" ht="24.95" customHeight="1">
      <c r="A12" s="8" t="s">
        <v>10</v>
      </c>
      <c r="B12" s="8" t="s">
        <v>253</v>
      </c>
      <c r="C12" s="8" t="s">
        <v>263</v>
      </c>
      <c r="D12" s="9" t="s">
        <v>266</v>
      </c>
      <c r="E12" s="8" t="s">
        <v>248</v>
      </c>
      <c r="F12" s="19">
        <v>28.01</v>
      </c>
    </row>
    <row r="13" spans="1:6" s="8" customFormat="1" ht="24.95" customHeight="1">
      <c r="A13" s="8" t="s">
        <v>10</v>
      </c>
      <c r="B13" s="8" t="s">
        <v>253</v>
      </c>
      <c r="C13" s="8" t="s">
        <v>263</v>
      </c>
      <c r="D13" s="9" t="s">
        <v>267</v>
      </c>
      <c r="E13" s="8" t="s">
        <v>248</v>
      </c>
      <c r="F13" s="19">
        <v>2.02</v>
      </c>
    </row>
    <row r="14" spans="1:6" s="8" customFormat="1" ht="24.95" customHeight="1">
      <c r="A14" s="8" t="s">
        <v>10</v>
      </c>
      <c r="B14" s="8" t="s">
        <v>253</v>
      </c>
      <c r="C14" s="8" t="s">
        <v>263</v>
      </c>
      <c r="D14" s="9" t="s">
        <v>268</v>
      </c>
      <c r="E14" s="8" t="s">
        <v>248</v>
      </c>
      <c r="F14" s="19">
        <v>30.01</v>
      </c>
    </row>
    <row r="15" spans="1:6" s="8" customFormat="1" ht="24.95" customHeight="1">
      <c r="A15" s="8" t="s">
        <v>10</v>
      </c>
      <c r="B15" s="8" t="s">
        <v>253</v>
      </c>
      <c r="C15" s="8" t="s">
        <v>263</v>
      </c>
      <c r="D15" s="9" t="s">
        <v>269</v>
      </c>
      <c r="E15" s="8" t="s">
        <v>248</v>
      </c>
      <c r="F15" s="19">
        <v>46.01</v>
      </c>
    </row>
    <row r="16" spans="1:6" s="8" customFormat="1" ht="24.95" customHeight="1">
      <c r="A16" s="8" t="s">
        <v>10</v>
      </c>
      <c r="B16" s="8" t="s">
        <v>253</v>
      </c>
      <c r="C16" s="8" t="s">
        <v>263</v>
      </c>
      <c r="D16" s="9" t="s">
        <v>270</v>
      </c>
      <c r="E16" s="8" t="s">
        <v>248</v>
      </c>
      <c r="F16" s="19">
        <v>64.06</v>
      </c>
    </row>
    <row r="17" spans="1:6" s="5" customFormat="1" ht="18.95">
      <c r="A17" s="3"/>
      <c r="B17" s="4"/>
      <c r="C17" s="4"/>
      <c r="D17" s="3" t="s">
        <v>271</v>
      </c>
      <c r="E17" s="4"/>
      <c r="F17" s="4"/>
    </row>
    <row r="18" spans="1:6" s="8" customFormat="1" ht="24.95" customHeight="1">
      <c r="A18" s="8" t="s">
        <v>10</v>
      </c>
      <c r="B18" s="8" t="s">
        <v>80</v>
      </c>
      <c r="C18" s="8" t="s">
        <v>272</v>
      </c>
      <c r="D18" s="9" t="s">
        <v>273</v>
      </c>
      <c r="E18" s="8" t="s">
        <v>248</v>
      </c>
      <c r="F18" s="19">
        <v>44.01</v>
      </c>
    </row>
    <row r="19" spans="1:6" s="8" customFormat="1" ht="24.95" customHeight="1">
      <c r="A19" s="8" t="s">
        <v>10</v>
      </c>
      <c r="B19" s="8" t="s">
        <v>80</v>
      </c>
      <c r="C19" s="8" t="s">
        <v>272</v>
      </c>
      <c r="D19" s="9" t="s">
        <v>274</v>
      </c>
      <c r="E19" s="8" t="s">
        <v>248</v>
      </c>
      <c r="F19" s="19">
        <v>16.04</v>
      </c>
    </row>
    <row r="20" spans="1:6" s="8" customFormat="1" ht="24.95" customHeight="1">
      <c r="A20" s="8" t="s">
        <v>10</v>
      </c>
      <c r="B20" s="8" t="s">
        <v>80</v>
      </c>
      <c r="C20" s="8" t="s">
        <v>272</v>
      </c>
      <c r="D20" s="9" t="s">
        <v>275</v>
      </c>
      <c r="E20" s="8" t="s">
        <v>248</v>
      </c>
      <c r="F20" s="19">
        <v>44.02</v>
      </c>
    </row>
    <row r="21" spans="1:6" s="8" customFormat="1" ht="24.95" customHeight="1">
      <c r="A21" s="8" t="s">
        <v>10</v>
      </c>
      <c r="B21" s="8" t="s">
        <v>80</v>
      </c>
      <c r="C21" s="8" t="s">
        <v>272</v>
      </c>
      <c r="D21" s="9" t="s">
        <v>276</v>
      </c>
      <c r="E21" s="8" t="s">
        <v>248</v>
      </c>
      <c r="F21" s="19">
        <v>146.06</v>
      </c>
    </row>
    <row r="22" spans="1:6" s="8" customFormat="1" ht="24.95" customHeight="1">
      <c r="A22" s="8" t="s">
        <v>10</v>
      </c>
      <c r="B22" s="8" t="s">
        <v>80</v>
      </c>
      <c r="C22" s="8" t="s">
        <v>272</v>
      </c>
      <c r="D22" s="9" t="s">
        <v>277</v>
      </c>
      <c r="E22" s="8" t="s">
        <v>248</v>
      </c>
      <c r="F22" s="19">
        <v>88</v>
      </c>
    </row>
    <row r="23" spans="1:6" s="8" customFormat="1" ht="24.95" customHeight="1">
      <c r="A23" s="8" t="s">
        <v>10</v>
      </c>
      <c r="B23" s="8" t="s">
        <v>80</v>
      </c>
      <c r="C23" s="8" t="s">
        <v>272</v>
      </c>
      <c r="D23" s="9" t="s">
        <v>278</v>
      </c>
      <c r="E23" s="8" t="s">
        <v>248</v>
      </c>
      <c r="F23" s="19">
        <v>138.01</v>
      </c>
    </row>
    <row r="24" spans="1:6" s="8" customFormat="1" ht="24.95" customHeight="1">
      <c r="A24" s="8" t="s">
        <v>10</v>
      </c>
      <c r="B24" s="8" t="s">
        <v>80</v>
      </c>
      <c r="C24" s="8" t="s">
        <v>272</v>
      </c>
      <c r="D24" s="9" t="s">
        <v>279</v>
      </c>
      <c r="E24" s="8" t="s">
        <v>248</v>
      </c>
      <c r="F24" s="19">
        <v>188.02</v>
      </c>
    </row>
    <row r="25" spans="1:6" s="8" customFormat="1" ht="24.95" customHeight="1">
      <c r="A25" s="8" t="s">
        <v>10</v>
      </c>
      <c r="B25" s="8" t="s">
        <v>80</v>
      </c>
      <c r="C25" s="8" t="s">
        <v>272</v>
      </c>
      <c r="D25" s="9" t="s">
        <v>280</v>
      </c>
      <c r="E25" s="8" t="s">
        <v>248</v>
      </c>
      <c r="F25" s="19">
        <v>238.03</v>
      </c>
    </row>
    <row r="26" spans="1:6" s="8" customFormat="1" ht="24.95" customHeight="1">
      <c r="A26" s="8" t="s">
        <v>10</v>
      </c>
      <c r="B26" s="8" t="s">
        <v>80</v>
      </c>
      <c r="C26" s="8" t="s">
        <v>272</v>
      </c>
      <c r="D26" s="9" t="s">
        <v>281</v>
      </c>
      <c r="E26" s="8" t="s">
        <v>248</v>
      </c>
      <c r="F26" s="19">
        <v>200.03</v>
      </c>
    </row>
    <row r="27" spans="1:6" s="8" customFormat="1" ht="24.95" customHeight="1">
      <c r="A27" s="8" t="s">
        <v>10</v>
      </c>
      <c r="B27" s="8" t="s">
        <v>80</v>
      </c>
      <c r="C27" s="8" t="s">
        <v>272</v>
      </c>
      <c r="D27" s="9" t="s">
        <v>282</v>
      </c>
      <c r="E27" s="8" t="s">
        <v>248</v>
      </c>
      <c r="F27" s="19">
        <v>288.02999999999997</v>
      </c>
    </row>
    <row r="28" spans="1:6" s="8" customFormat="1" ht="24.95" customHeight="1">
      <c r="A28" s="8" t="s">
        <v>10</v>
      </c>
      <c r="B28" s="8" t="s">
        <v>80</v>
      </c>
      <c r="C28" s="8" t="s">
        <v>272</v>
      </c>
      <c r="D28" s="9" t="s">
        <v>283</v>
      </c>
      <c r="E28" s="8" t="s">
        <v>248</v>
      </c>
      <c r="F28" s="19">
        <v>338.04</v>
      </c>
    </row>
    <row r="29" spans="1:6" s="5" customFormat="1" ht="20.100000000000001" customHeight="1">
      <c r="A29" s="3"/>
      <c r="B29" s="4"/>
      <c r="C29" s="4"/>
      <c r="D29" s="3" t="s">
        <v>284</v>
      </c>
      <c r="E29" s="4"/>
      <c r="F29" s="4"/>
    </row>
    <row r="30" spans="1:6" s="8" customFormat="1" ht="33">
      <c r="A30" s="10" t="s">
        <v>10</v>
      </c>
      <c r="B30" s="10" t="s">
        <v>80</v>
      </c>
      <c r="C30" s="10" t="s">
        <v>285</v>
      </c>
      <c r="D30" s="21" t="s">
        <v>286</v>
      </c>
      <c r="E30" s="10" t="s">
        <v>9</v>
      </c>
      <c r="F30" s="10" t="e">
        <f>F31*F32*F33</f>
        <v>#VALUE!</v>
      </c>
    </row>
    <row r="31" spans="1:6" ht="33">
      <c r="A31" t="s">
        <v>9</v>
      </c>
      <c r="B31" t="s">
        <v>111</v>
      </c>
      <c r="C31" t="s">
        <v>287</v>
      </c>
      <c r="D31" s="6" t="s">
        <v>288</v>
      </c>
      <c r="E31" t="s">
        <v>9</v>
      </c>
      <c r="F31" s="7"/>
    </row>
    <row r="32" spans="1:6" ht="48.95">
      <c r="A32" t="s">
        <v>9</v>
      </c>
      <c r="B32" t="s">
        <v>111</v>
      </c>
      <c r="C32" s="22" t="s">
        <v>289</v>
      </c>
      <c r="D32" s="6" t="s">
        <v>290</v>
      </c>
      <c r="E32" t="s">
        <v>9</v>
      </c>
      <c r="F32" s="7"/>
    </row>
    <row r="33" spans="1:6" s="8" customFormat="1" ht="33">
      <c r="A33" s="8" t="s">
        <v>10</v>
      </c>
      <c r="B33" s="8" t="s">
        <v>80</v>
      </c>
      <c r="C33" s="8" t="s">
        <v>291</v>
      </c>
      <c r="D33" s="9" t="s">
        <v>292</v>
      </c>
      <c r="E33" s="8" t="s">
        <v>9</v>
      </c>
      <c r="F33" s="10" t="e">
        <f>F34*F36/F5*F37</f>
        <v>#VALUE!</v>
      </c>
    </row>
    <row r="34" spans="1:6" ht="33">
      <c r="A34" t="s">
        <v>9</v>
      </c>
      <c r="B34" t="s">
        <v>111</v>
      </c>
      <c r="C34" t="s">
        <v>293</v>
      </c>
      <c r="D34" s="6" t="s">
        <v>294</v>
      </c>
      <c r="E34" t="s">
        <v>9</v>
      </c>
      <c r="F34" s="7"/>
    </row>
    <row r="35" spans="1:6" s="105" customFormat="1" ht="80.099999999999994">
      <c r="A35" s="105" t="s">
        <v>9</v>
      </c>
      <c r="B35" s="105" t="s">
        <v>83</v>
      </c>
      <c r="C35" s="105" t="s">
        <v>12</v>
      </c>
      <c r="D35" s="106" t="s">
        <v>295</v>
      </c>
      <c r="E35" s="105" t="s">
        <v>248</v>
      </c>
      <c r="F35" s="107" t="s">
        <v>296</v>
      </c>
    </row>
    <row r="36" spans="1:6" s="8" customFormat="1" ht="65.099999999999994">
      <c r="A36" s="8" t="s">
        <v>79</v>
      </c>
      <c r="B36" s="8" t="s">
        <v>80</v>
      </c>
      <c r="C36" s="8" t="s">
        <v>272</v>
      </c>
      <c r="D36" s="9" t="s">
        <v>297</v>
      </c>
      <c r="E36" s="8" t="s">
        <v>248</v>
      </c>
      <c r="F36" s="16" t="s">
        <v>298</v>
      </c>
    </row>
    <row r="37" spans="1:6" ht="17.100000000000001">
      <c r="A37" t="s">
        <v>9</v>
      </c>
      <c r="B37" t="s">
        <v>111</v>
      </c>
      <c r="C37" t="s">
        <v>299</v>
      </c>
      <c r="D37" s="6" t="s">
        <v>300</v>
      </c>
      <c r="E37" t="s">
        <v>9</v>
      </c>
      <c r="F37" s="7"/>
    </row>
    <row r="38" spans="1:6" s="5" customFormat="1" ht="18.95">
      <c r="A38" s="3"/>
      <c r="B38" s="4"/>
      <c r="C38" s="4"/>
      <c r="D38" s="3" t="s">
        <v>301</v>
      </c>
      <c r="E38" s="4"/>
      <c r="F38" s="4"/>
    </row>
    <row r="39" spans="1:6" s="8" customFormat="1" ht="33">
      <c r="A39" s="10" t="s">
        <v>10</v>
      </c>
      <c r="B39" s="10" t="s">
        <v>80</v>
      </c>
      <c r="C39" s="10" t="s">
        <v>285</v>
      </c>
      <c r="D39" s="21" t="s">
        <v>286</v>
      </c>
      <c r="E39" s="10" t="s">
        <v>9</v>
      </c>
      <c r="F39" s="10" t="e">
        <f>F40*F41*F42</f>
        <v>#VALUE!</v>
      </c>
    </row>
    <row r="40" spans="1:6" s="8" customFormat="1" ht="33">
      <c r="A40" s="8" t="s">
        <v>10</v>
      </c>
      <c r="B40" s="8" t="s">
        <v>80</v>
      </c>
      <c r="C40" s="8" t="s">
        <v>287</v>
      </c>
      <c r="D40" s="9" t="s">
        <v>288</v>
      </c>
      <c r="E40" s="8" t="s">
        <v>9</v>
      </c>
      <c r="F40" s="10" t="e">
        <f>F47/(1+F48)</f>
        <v>#VALUE!</v>
      </c>
    </row>
    <row r="41" spans="1:6" ht="48.95">
      <c r="A41" t="s">
        <v>9</v>
      </c>
      <c r="B41" t="s">
        <v>111</v>
      </c>
      <c r="C41" s="22" t="s">
        <v>289</v>
      </c>
      <c r="D41" s="6" t="s">
        <v>290</v>
      </c>
      <c r="E41" t="s">
        <v>9</v>
      </c>
      <c r="F41" s="7"/>
    </row>
    <row r="42" spans="1:6" s="8" customFormat="1" ht="33">
      <c r="A42" s="8" t="s">
        <v>10</v>
      </c>
      <c r="B42" s="8" t="s">
        <v>80</v>
      </c>
      <c r="C42" s="8" t="s">
        <v>291</v>
      </c>
      <c r="D42" s="9" t="s">
        <v>292</v>
      </c>
      <c r="E42" s="8" t="s">
        <v>9</v>
      </c>
      <c r="F42" s="10" t="e">
        <f>F43*F45/F5*F46</f>
        <v>#VALUE!</v>
      </c>
    </row>
    <row r="43" spans="1:6" ht="33">
      <c r="A43" t="s">
        <v>9</v>
      </c>
      <c r="B43" t="s">
        <v>111</v>
      </c>
      <c r="C43" t="s">
        <v>293</v>
      </c>
      <c r="D43" s="6" t="s">
        <v>294</v>
      </c>
      <c r="E43" t="s">
        <v>9</v>
      </c>
      <c r="F43" s="7"/>
    </row>
    <row r="44" spans="1:6" s="105" customFormat="1" ht="80.099999999999994">
      <c r="A44" s="105" t="s">
        <v>9</v>
      </c>
      <c r="B44" s="105" t="s">
        <v>83</v>
      </c>
      <c r="C44" s="105" t="s">
        <v>12</v>
      </c>
      <c r="D44" s="106" t="s">
        <v>295</v>
      </c>
      <c r="E44" s="105" t="s">
        <v>248</v>
      </c>
      <c r="F44" s="107" t="s">
        <v>296</v>
      </c>
    </row>
    <row r="45" spans="1:6" s="8" customFormat="1" ht="65.099999999999994" customHeight="1">
      <c r="A45" s="8" t="s">
        <v>79</v>
      </c>
      <c r="B45" s="8" t="s">
        <v>80</v>
      </c>
      <c r="C45" s="8" t="s">
        <v>272</v>
      </c>
      <c r="D45" s="9" t="s">
        <v>297</v>
      </c>
      <c r="E45" s="8" t="s">
        <v>248</v>
      </c>
      <c r="F45" s="16" t="s">
        <v>298</v>
      </c>
    </row>
    <row r="46" spans="1:6" ht="17.100000000000001">
      <c r="A46" t="s">
        <v>9</v>
      </c>
      <c r="B46" t="s">
        <v>111</v>
      </c>
      <c r="C46" t="s">
        <v>299</v>
      </c>
      <c r="D46" s="6" t="s">
        <v>300</v>
      </c>
      <c r="E46" t="s">
        <v>9</v>
      </c>
    </row>
    <row r="47" spans="1:6" ht="33">
      <c r="A47" t="s">
        <v>9</v>
      </c>
      <c r="B47" t="s">
        <v>111</v>
      </c>
      <c r="C47" t="s">
        <v>302</v>
      </c>
      <c r="D47" s="6" t="s">
        <v>303</v>
      </c>
      <c r="E47" t="s">
        <v>9</v>
      </c>
      <c r="F47" s="7"/>
    </row>
    <row r="48" spans="1:6" s="8" customFormat="1" ht="33">
      <c r="A48" s="8" t="s">
        <v>10</v>
      </c>
      <c r="B48" s="8" t="s">
        <v>80</v>
      </c>
      <c r="C48" s="8" t="s">
        <v>304</v>
      </c>
      <c r="D48" s="9" t="s">
        <v>305</v>
      </c>
      <c r="E48" s="8" t="s">
        <v>9</v>
      </c>
      <c r="F48" s="10" t="e">
        <f>F49*F50/F6</f>
        <v>#VALUE!</v>
      </c>
    </row>
    <row r="49" spans="1:6" s="8" customFormat="1" ht="33">
      <c r="A49" s="8" t="s">
        <v>9</v>
      </c>
      <c r="B49" s="8" t="s">
        <v>80</v>
      </c>
      <c r="C49" s="8" t="s">
        <v>306</v>
      </c>
      <c r="D49" s="9" t="s">
        <v>307</v>
      </c>
      <c r="E49" s="8" t="s">
        <v>248</v>
      </c>
      <c r="F49" s="8" t="s">
        <v>308</v>
      </c>
    </row>
    <row r="50" spans="1:6" s="8" customFormat="1" ht="33">
      <c r="A50" s="8" t="s">
        <v>10</v>
      </c>
      <c r="B50" s="8" t="s">
        <v>80</v>
      </c>
      <c r="C50" s="8" t="s">
        <v>309</v>
      </c>
      <c r="D50" s="9" t="s">
        <v>310</v>
      </c>
      <c r="E50" s="8" t="s">
        <v>9</v>
      </c>
      <c r="F50" s="10" t="e">
        <f>SUM(F108,F113)</f>
        <v>#VALUE!</v>
      </c>
    </row>
    <row r="51" spans="1:6" s="5" customFormat="1" ht="18.95">
      <c r="A51" s="3"/>
      <c r="B51" s="4"/>
      <c r="C51" s="4"/>
      <c r="D51" s="3" t="s">
        <v>311</v>
      </c>
      <c r="E51" s="4"/>
      <c r="F51" s="4"/>
    </row>
    <row r="52" spans="1:6" s="8" customFormat="1" ht="33">
      <c r="A52" s="8" t="s">
        <v>10</v>
      </c>
      <c r="B52" s="8" t="s">
        <v>80</v>
      </c>
      <c r="C52" s="8" t="s">
        <v>285</v>
      </c>
      <c r="D52" s="9" t="s">
        <v>286</v>
      </c>
      <c r="E52" s="8" t="s">
        <v>9</v>
      </c>
      <c r="F52" s="10" t="e">
        <f>F53*F54*F55</f>
        <v>#DIV/0!</v>
      </c>
    </row>
    <row r="53" spans="1:6" s="8" customFormat="1" ht="33">
      <c r="A53" s="8" t="s">
        <v>10</v>
      </c>
      <c r="B53" s="8" t="s">
        <v>80</v>
      </c>
      <c r="C53" s="8" t="s">
        <v>312</v>
      </c>
      <c r="D53" s="9" t="s">
        <v>313</v>
      </c>
      <c r="E53" s="8" t="s">
        <v>9</v>
      </c>
      <c r="F53" s="10" t="e">
        <f>F58*((F8/F60)*(F59/F7))</f>
        <v>#DIV/0!</v>
      </c>
    </row>
    <row r="54" spans="1:6" ht="48.95">
      <c r="A54" t="s">
        <v>9</v>
      </c>
      <c r="B54" t="s">
        <v>111</v>
      </c>
      <c r="C54" t="s">
        <v>314</v>
      </c>
      <c r="D54" s="6" t="s">
        <v>315</v>
      </c>
      <c r="E54" t="s">
        <v>9</v>
      </c>
      <c r="F54" s="7"/>
    </row>
    <row r="55" spans="1:6" s="8" customFormat="1" ht="33">
      <c r="A55" s="8" t="s">
        <v>10</v>
      </c>
      <c r="B55" s="8" t="s">
        <v>80</v>
      </c>
      <c r="C55" s="8" t="s">
        <v>316</v>
      </c>
      <c r="D55" s="9" t="s">
        <v>317</v>
      </c>
      <c r="E55" s="8" t="s">
        <v>9</v>
      </c>
      <c r="F55" s="10" t="e">
        <f>F7*F57/F5*F8</f>
        <v>#VALUE!</v>
      </c>
    </row>
    <row r="56" spans="1:6" s="105" customFormat="1" ht="80.099999999999994">
      <c r="A56" s="105" t="s">
        <v>9</v>
      </c>
      <c r="B56" s="105" t="s">
        <v>83</v>
      </c>
      <c r="C56" s="105" t="s">
        <v>12</v>
      </c>
      <c r="D56" s="106" t="s">
        <v>295</v>
      </c>
      <c r="E56" s="105" t="s">
        <v>248</v>
      </c>
      <c r="F56" s="107" t="s">
        <v>296</v>
      </c>
    </row>
    <row r="57" spans="1:6" s="8" customFormat="1" ht="69" customHeight="1">
      <c r="A57" s="8" t="s">
        <v>9</v>
      </c>
      <c r="B57" s="8" t="s">
        <v>80</v>
      </c>
      <c r="C57" s="8" t="s">
        <v>272</v>
      </c>
      <c r="D57" s="9" t="s">
        <v>297</v>
      </c>
      <c r="E57" s="8" t="s">
        <v>248</v>
      </c>
      <c r="F57" s="16" t="s">
        <v>298</v>
      </c>
    </row>
    <row r="58" spans="1:6" ht="33">
      <c r="A58" t="s">
        <v>9</v>
      </c>
      <c r="B58" t="s">
        <v>111</v>
      </c>
      <c r="C58" t="s">
        <v>318</v>
      </c>
      <c r="D58" s="6" t="s">
        <v>319</v>
      </c>
      <c r="E58" t="s">
        <v>9</v>
      </c>
      <c r="F58" s="7"/>
    </row>
    <row r="59" spans="1:6" ht="17.100000000000001">
      <c r="A59" t="s">
        <v>9</v>
      </c>
      <c r="B59" t="s">
        <v>111</v>
      </c>
      <c r="C59" t="s">
        <v>293</v>
      </c>
      <c r="D59" s="6" t="s">
        <v>320</v>
      </c>
      <c r="E59" t="s">
        <v>9</v>
      </c>
      <c r="F59" s="7"/>
    </row>
    <row r="60" spans="1:6" ht="17.100000000000001">
      <c r="A60" t="s">
        <v>9</v>
      </c>
      <c r="B60" t="s">
        <v>111</v>
      </c>
      <c r="C60" t="s">
        <v>299</v>
      </c>
      <c r="D60" s="6" t="s">
        <v>261</v>
      </c>
      <c r="E60" t="s">
        <v>9</v>
      </c>
      <c r="F60" s="7"/>
    </row>
    <row r="61" spans="1:6" s="5" customFormat="1" ht="18.95">
      <c r="A61" s="3"/>
      <c r="B61" s="4"/>
      <c r="C61" s="4"/>
      <c r="D61" s="3" t="s">
        <v>321</v>
      </c>
      <c r="E61" s="4"/>
      <c r="F61" s="4"/>
    </row>
    <row r="62" spans="1:6" s="8" customFormat="1" ht="33">
      <c r="A62" s="10" t="s">
        <v>10</v>
      </c>
      <c r="B62" s="10" t="s">
        <v>80</v>
      </c>
      <c r="C62" s="10" t="s">
        <v>285</v>
      </c>
      <c r="D62" s="21" t="s">
        <v>286</v>
      </c>
      <c r="E62" s="10" t="s">
        <v>9</v>
      </c>
      <c r="F62" s="10" t="e">
        <f>F63*F64*F65</f>
        <v>#VALUE!</v>
      </c>
    </row>
    <row r="63" spans="1:6" s="8" customFormat="1" ht="33">
      <c r="A63" s="8" t="s">
        <v>10</v>
      </c>
      <c r="B63" s="8" t="s">
        <v>80</v>
      </c>
      <c r="C63" s="8" t="s">
        <v>287</v>
      </c>
      <c r="D63" s="9" t="s">
        <v>288</v>
      </c>
      <c r="E63" s="8" t="s">
        <v>9</v>
      </c>
      <c r="F63" s="10" t="e">
        <f>F70/F71</f>
        <v>#VALUE!</v>
      </c>
    </row>
    <row r="64" spans="1:6" ht="48.95">
      <c r="A64" t="s">
        <v>9</v>
      </c>
      <c r="B64" t="s">
        <v>111</v>
      </c>
      <c r="C64" s="22" t="s">
        <v>289</v>
      </c>
      <c r="D64" s="6" t="s">
        <v>290</v>
      </c>
      <c r="E64" t="s">
        <v>9</v>
      </c>
      <c r="F64" s="7"/>
    </row>
    <row r="65" spans="1:6" s="8" customFormat="1" ht="33">
      <c r="A65" s="8" t="s">
        <v>10</v>
      </c>
      <c r="B65" s="8" t="s">
        <v>80</v>
      </c>
      <c r="C65" s="8" t="s">
        <v>291</v>
      </c>
      <c r="D65" s="9" t="s">
        <v>292</v>
      </c>
      <c r="E65" s="8" t="s">
        <v>9</v>
      </c>
      <c r="F65" s="10" t="e">
        <f>F66*F68/F5*F69</f>
        <v>#VALUE!</v>
      </c>
    </row>
    <row r="66" spans="1:6" ht="33">
      <c r="A66" t="s">
        <v>9</v>
      </c>
      <c r="B66" t="s">
        <v>111</v>
      </c>
      <c r="C66" t="s">
        <v>293</v>
      </c>
      <c r="D66" s="6" t="s">
        <v>294</v>
      </c>
      <c r="E66" t="s">
        <v>9</v>
      </c>
      <c r="F66" s="7"/>
    </row>
    <row r="67" spans="1:6" s="105" customFormat="1" ht="80.099999999999994">
      <c r="A67" s="105" t="s">
        <v>9</v>
      </c>
      <c r="B67" s="105" t="s">
        <v>83</v>
      </c>
      <c r="C67" s="105" t="s">
        <v>12</v>
      </c>
      <c r="D67" s="106" t="s">
        <v>295</v>
      </c>
      <c r="E67" s="105" t="s">
        <v>248</v>
      </c>
      <c r="F67" s="107" t="s">
        <v>296</v>
      </c>
    </row>
    <row r="68" spans="1:6" s="8" customFormat="1" ht="68.099999999999994" customHeight="1">
      <c r="A68" s="8" t="s">
        <v>9</v>
      </c>
      <c r="B68" s="8" t="s">
        <v>80</v>
      </c>
      <c r="C68" s="8" t="s">
        <v>272</v>
      </c>
      <c r="D68" s="9" t="s">
        <v>297</v>
      </c>
      <c r="E68" s="8" t="s">
        <v>248</v>
      </c>
      <c r="F68" s="16" t="s">
        <v>298</v>
      </c>
    </row>
    <row r="69" spans="1:6" ht="17.100000000000001">
      <c r="A69" t="s">
        <v>9</v>
      </c>
      <c r="B69" t="s">
        <v>111</v>
      </c>
      <c r="C69" t="s">
        <v>299</v>
      </c>
      <c r="D69" s="6" t="s">
        <v>300</v>
      </c>
      <c r="E69" t="s">
        <v>9</v>
      </c>
      <c r="F69" s="7"/>
    </row>
    <row r="70" spans="1:6" ht="33">
      <c r="A70" t="s">
        <v>9</v>
      </c>
      <c r="B70" t="s">
        <v>111</v>
      </c>
      <c r="C70" t="s">
        <v>322</v>
      </c>
      <c r="D70" s="6" t="s">
        <v>323</v>
      </c>
      <c r="E70" t="s">
        <v>9</v>
      </c>
      <c r="F70" s="7"/>
    </row>
    <row r="71" spans="1:6" s="8" customFormat="1" ht="33">
      <c r="A71" s="8" t="s">
        <v>10</v>
      </c>
      <c r="B71" s="8" t="s">
        <v>80</v>
      </c>
      <c r="C71" s="8" t="s">
        <v>324</v>
      </c>
      <c r="D71" s="9" t="s">
        <v>325</v>
      </c>
      <c r="E71" s="8" t="s">
        <v>9</v>
      </c>
      <c r="F71" s="10" t="e">
        <f>F66*F72/F5*F69</f>
        <v>#VALUE!</v>
      </c>
    </row>
    <row r="72" spans="1:6" s="8" customFormat="1" ht="33">
      <c r="A72" s="8" t="s">
        <v>10</v>
      </c>
      <c r="B72" s="8" t="s">
        <v>80</v>
      </c>
      <c r="C72" s="8" t="s">
        <v>309</v>
      </c>
      <c r="D72" s="9" t="s">
        <v>310</v>
      </c>
      <c r="E72" s="8" t="s">
        <v>9</v>
      </c>
      <c r="F72" s="10" t="e">
        <f>SUM(F108,F113)</f>
        <v>#VALUE!</v>
      </c>
    </row>
    <row r="73" spans="1:6" s="5" customFormat="1" ht="18.95">
      <c r="A73" s="3"/>
      <c r="B73" s="4"/>
      <c r="C73" s="4"/>
      <c r="D73" s="3" t="s">
        <v>326</v>
      </c>
      <c r="E73" s="4"/>
      <c r="F73" s="4"/>
    </row>
    <row r="74" spans="1:6" s="8" customFormat="1" ht="33">
      <c r="A74" s="10" t="s">
        <v>10</v>
      </c>
      <c r="B74" s="10" t="s">
        <v>80</v>
      </c>
      <c r="C74" s="10" t="s">
        <v>285</v>
      </c>
      <c r="D74" s="21" t="s">
        <v>286</v>
      </c>
      <c r="E74" s="10" t="s">
        <v>9</v>
      </c>
      <c r="F74" s="10" t="e">
        <f>F75*F76*F77</f>
        <v>#VALUE!</v>
      </c>
    </row>
    <row r="75" spans="1:6" s="8" customFormat="1" ht="33">
      <c r="A75" s="8" t="s">
        <v>10</v>
      </c>
      <c r="B75" s="8" t="s">
        <v>80</v>
      </c>
      <c r="C75" s="8" t="s">
        <v>287</v>
      </c>
      <c r="D75" s="9" t="s">
        <v>288</v>
      </c>
      <c r="E75" s="8" t="s">
        <v>9</v>
      </c>
      <c r="F75" s="10" t="e">
        <f>F82/F85</f>
        <v>#VALUE!</v>
      </c>
    </row>
    <row r="76" spans="1:6" ht="48.95">
      <c r="A76" t="s">
        <v>9</v>
      </c>
      <c r="B76" t="s">
        <v>111</v>
      </c>
      <c r="C76" s="22" t="s">
        <v>289</v>
      </c>
      <c r="D76" s="6" t="s">
        <v>290</v>
      </c>
      <c r="E76" t="s">
        <v>9</v>
      </c>
      <c r="F76" s="7"/>
    </row>
    <row r="77" spans="1:6" s="8" customFormat="1" ht="33">
      <c r="A77" s="8" t="s">
        <v>10</v>
      </c>
      <c r="B77" s="8" t="s">
        <v>80</v>
      </c>
      <c r="C77" s="8" t="s">
        <v>291</v>
      </c>
      <c r="D77" s="9" t="s">
        <v>292</v>
      </c>
      <c r="E77" s="8" t="s">
        <v>9</v>
      </c>
      <c r="F77" s="10" t="e">
        <f>F78*F80/F5*F81</f>
        <v>#VALUE!</v>
      </c>
    </row>
    <row r="78" spans="1:6" ht="33">
      <c r="A78" t="s">
        <v>9</v>
      </c>
      <c r="B78" t="s">
        <v>111</v>
      </c>
      <c r="C78" t="s">
        <v>293</v>
      </c>
      <c r="D78" s="6" t="s">
        <v>294</v>
      </c>
      <c r="E78" t="s">
        <v>9</v>
      </c>
      <c r="F78" s="7"/>
    </row>
    <row r="79" spans="1:6" s="105" customFormat="1" ht="80.099999999999994">
      <c r="A79" s="105" t="s">
        <v>9</v>
      </c>
      <c r="B79" s="105" t="s">
        <v>83</v>
      </c>
      <c r="C79" s="105" t="s">
        <v>12</v>
      </c>
      <c r="D79" s="106" t="s">
        <v>295</v>
      </c>
      <c r="E79" s="105" t="s">
        <v>248</v>
      </c>
      <c r="F79" s="107" t="s">
        <v>296</v>
      </c>
    </row>
    <row r="80" spans="1:6" s="8" customFormat="1" ht="69" customHeight="1">
      <c r="A80" s="8" t="s">
        <v>9</v>
      </c>
      <c r="B80" s="8" t="s">
        <v>80</v>
      </c>
      <c r="C80" s="8" t="s">
        <v>272</v>
      </c>
      <c r="D80" s="9" t="s">
        <v>297</v>
      </c>
      <c r="E80" s="8" t="s">
        <v>248</v>
      </c>
      <c r="F80" s="16" t="s">
        <v>298</v>
      </c>
    </row>
    <row r="81" spans="1:6" ht="17.100000000000001">
      <c r="A81" t="s">
        <v>9</v>
      </c>
      <c r="B81" t="s">
        <v>111</v>
      </c>
      <c r="C81" t="s">
        <v>299</v>
      </c>
      <c r="D81" s="6" t="s">
        <v>300</v>
      </c>
      <c r="E81" t="s">
        <v>9</v>
      </c>
      <c r="F81" s="7"/>
    </row>
    <row r="82" spans="1:6" s="8" customFormat="1" ht="33">
      <c r="A82" s="8" t="s">
        <v>10</v>
      </c>
      <c r="B82" s="8" t="s">
        <v>80</v>
      </c>
      <c r="C82" s="8" t="s">
        <v>327</v>
      </c>
      <c r="D82" s="9" t="s">
        <v>323</v>
      </c>
      <c r="E82" s="8" t="s">
        <v>9</v>
      </c>
      <c r="F82" s="10" t="e">
        <f>F83/(1+F84)</f>
        <v>#VALUE!</v>
      </c>
    </row>
    <row r="83" spans="1:6" ht="33">
      <c r="A83" t="s">
        <v>9</v>
      </c>
      <c r="B83" t="s">
        <v>111</v>
      </c>
      <c r="C83" t="s">
        <v>328</v>
      </c>
      <c r="D83" s="6" t="s">
        <v>329</v>
      </c>
      <c r="E83" t="s">
        <v>9</v>
      </c>
      <c r="F83" s="7"/>
    </row>
    <row r="84" spans="1:6" s="8" customFormat="1" ht="33">
      <c r="A84" s="8" t="s">
        <v>9</v>
      </c>
      <c r="B84" s="8" t="s">
        <v>80</v>
      </c>
      <c r="C84" s="8" t="s">
        <v>306</v>
      </c>
      <c r="D84" s="9" t="s">
        <v>330</v>
      </c>
      <c r="E84" s="8" t="s">
        <v>248</v>
      </c>
      <c r="F84" s="10" t="s">
        <v>308</v>
      </c>
    </row>
    <row r="85" spans="1:6" ht="33">
      <c r="A85" t="s">
        <v>9</v>
      </c>
      <c r="B85" t="s">
        <v>111</v>
      </c>
      <c r="C85" t="s">
        <v>331</v>
      </c>
      <c r="D85" s="6" t="s">
        <v>325</v>
      </c>
      <c r="E85" t="s">
        <v>9</v>
      </c>
      <c r="F85" s="7"/>
    </row>
    <row r="86" spans="1:6" s="5" customFormat="1" ht="18.95">
      <c r="A86" s="3"/>
      <c r="B86" s="4"/>
      <c r="C86" s="4"/>
      <c r="D86" s="3" t="s">
        <v>332</v>
      </c>
      <c r="E86" s="4"/>
      <c r="F86" s="4"/>
    </row>
    <row r="87" spans="1:6" s="8" customFormat="1" ht="33">
      <c r="A87" s="8" t="s">
        <v>10</v>
      </c>
      <c r="B87" s="8" t="s">
        <v>80</v>
      </c>
      <c r="C87" s="8" t="s">
        <v>285</v>
      </c>
      <c r="D87" s="9" t="s">
        <v>286</v>
      </c>
      <c r="E87" s="8" t="s">
        <v>9</v>
      </c>
      <c r="F87" s="10" t="e">
        <f>F88*F89*F90</f>
        <v>#VALUE!</v>
      </c>
    </row>
    <row r="88" spans="1:6" s="8" customFormat="1" ht="33">
      <c r="A88" s="8" t="s">
        <v>10</v>
      </c>
      <c r="B88" s="8" t="s">
        <v>80</v>
      </c>
      <c r="C88" s="8" t="s">
        <v>312</v>
      </c>
      <c r="D88" s="9" t="s">
        <v>313</v>
      </c>
      <c r="E88" s="8" t="s">
        <v>9</v>
      </c>
      <c r="F88" s="10" t="e">
        <f>F93/F94</f>
        <v>#VALUE!</v>
      </c>
    </row>
    <row r="89" spans="1:6" ht="48.95">
      <c r="A89" t="s">
        <v>9</v>
      </c>
      <c r="B89" t="s">
        <v>111</v>
      </c>
      <c r="C89" t="s">
        <v>314</v>
      </c>
      <c r="D89" s="6" t="s">
        <v>315</v>
      </c>
      <c r="E89" t="s">
        <v>9</v>
      </c>
      <c r="F89" s="7"/>
    </row>
    <row r="90" spans="1:6" s="8" customFormat="1" ht="33">
      <c r="A90" s="8" t="s">
        <v>10</v>
      </c>
      <c r="B90" s="8" t="s">
        <v>80</v>
      </c>
      <c r="C90" s="8" t="s">
        <v>316</v>
      </c>
      <c r="D90" s="9" t="s">
        <v>317</v>
      </c>
      <c r="E90" s="8" t="s">
        <v>9</v>
      </c>
      <c r="F90" s="10" t="e">
        <f>F7*F92/F5*F8</f>
        <v>#VALUE!</v>
      </c>
    </row>
    <row r="91" spans="1:6" s="105" customFormat="1" ht="80.099999999999994">
      <c r="A91" s="105" t="s">
        <v>9</v>
      </c>
      <c r="B91" s="105" t="s">
        <v>83</v>
      </c>
      <c r="C91" s="105" t="s">
        <v>12</v>
      </c>
      <c r="D91" s="106" t="s">
        <v>295</v>
      </c>
      <c r="E91" s="105" t="s">
        <v>248</v>
      </c>
      <c r="F91" s="107" t="s">
        <v>296</v>
      </c>
    </row>
    <row r="92" spans="1:6" s="8" customFormat="1" ht="68.099999999999994" customHeight="1">
      <c r="A92" s="8" t="s">
        <v>9</v>
      </c>
      <c r="B92" s="8" t="s">
        <v>80</v>
      </c>
      <c r="C92" s="8" t="s">
        <v>272</v>
      </c>
      <c r="D92" s="9" t="s">
        <v>297</v>
      </c>
      <c r="E92" s="8" t="s">
        <v>248</v>
      </c>
      <c r="F92" s="16" t="s">
        <v>298</v>
      </c>
    </row>
    <row r="93" spans="1:6" ht="33">
      <c r="A93" t="s">
        <v>9</v>
      </c>
      <c r="B93" t="s">
        <v>111</v>
      </c>
      <c r="C93" t="s">
        <v>333</v>
      </c>
      <c r="D93" s="6" t="s">
        <v>329</v>
      </c>
      <c r="E93" t="s">
        <v>79</v>
      </c>
      <c r="F93" s="7"/>
    </row>
    <row r="94" spans="1:6" s="8" customFormat="1" ht="33">
      <c r="A94" s="8" t="s">
        <v>10</v>
      </c>
      <c r="B94" s="8" t="s">
        <v>80</v>
      </c>
      <c r="C94" s="8" t="s">
        <v>334</v>
      </c>
      <c r="D94" s="9" t="s">
        <v>335</v>
      </c>
      <c r="E94" s="8" t="s">
        <v>79</v>
      </c>
      <c r="F94" s="10" t="e">
        <f>F7*F95/F5*F8</f>
        <v>#VALUE!</v>
      </c>
    </row>
    <row r="95" spans="1:6" s="8" customFormat="1" ht="33">
      <c r="A95" s="8" t="s">
        <v>10</v>
      </c>
      <c r="B95" s="8" t="s">
        <v>80</v>
      </c>
      <c r="C95" s="8" t="s">
        <v>336</v>
      </c>
      <c r="D95" s="9" t="s">
        <v>337</v>
      </c>
      <c r="E95" s="8" t="s">
        <v>9</v>
      </c>
      <c r="F95" s="10" t="e">
        <f>SUM(F108, F113)</f>
        <v>#VALUE!</v>
      </c>
    </row>
    <row r="96" spans="1:6" s="5" customFormat="1" ht="18.95">
      <c r="A96" s="3"/>
      <c r="B96" s="4"/>
      <c r="C96" s="4"/>
      <c r="D96" s="3" t="s">
        <v>338</v>
      </c>
      <c r="E96" s="4"/>
      <c r="F96" s="4"/>
    </row>
    <row r="97" spans="1:6" s="8" customFormat="1" ht="33">
      <c r="A97" s="8" t="s">
        <v>10</v>
      </c>
      <c r="B97" s="8" t="s">
        <v>80</v>
      </c>
      <c r="C97" s="8" t="s">
        <v>339</v>
      </c>
      <c r="D97" s="9" t="s">
        <v>340</v>
      </c>
      <c r="E97" s="8" t="s">
        <v>9</v>
      </c>
      <c r="F97" s="10" t="e">
        <f>F98/(10^6*F99)</f>
        <v>#VALUE!</v>
      </c>
    </row>
    <row r="98" spans="1:6" ht="39.950000000000003" customHeight="1">
      <c r="A98" t="s">
        <v>9</v>
      </c>
      <c r="B98" t="s">
        <v>111</v>
      </c>
      <c r="C98" t="s">
        <v>341</v>
      </c>
      <c r="D98" s="6" t="s">
        <v>342</v>
      </c>
      <c r="E98" t="s">
        <v>9</v>
      </c>
      <c r="F98" s="7"/>
    </row>
    <row r="99" spans="1:6" s="8" customFormat="1" ht="39.950000000000003" customHeight="1">
      <c r="A99" s="8" t="s">
        <v>10</v>
      </c>
      <c r="B99" s="8" t="s">
        <v>80</v>
      </c>
      <c r="C99" s="8" t="s">
        <v>343</v>
      </c>
      <c r="D99" s="9" t="s">
        <v>344</v>
      </c>
      <c r="E99" s="8" t="s">
        <v>9</v>
      </c>
      <c r="F99" s="10" t="e">
        <f>(F7*F100)/(F5*F8)</f>
        <v>#VALUE!</v>
      </c>
    </row>
    <row r="100" spans="1:6" s="8" customFormat="1" ht="35.1" customHeight="1">
      <c r="A100" s="8" t="s">
        <v>10</v>
      </c>
      <c r="B100" s="8" t="s">
        <v>80</v>
      </c>
      <c r="C100" s="8" t="s">
        <v>345</v>
      </c>
      <c r="D100" s="9" t="s">
        <v>346</v>
      </c>
      <c r="E100" s="8" t="s">
        <v>9</v>
      </c>
      <c r="F100" s="10" t="e">
        <f>SUM(F108,F113)</f>
        <v>#VALUE!</v>
      </c>
    </row>
    <row r="101" spans="1:6" s="5" customFormat="1" ht="18.95">
      <c r="A101" s="3"/>
      <c r="B101" s="4"/>
      <c r="C101" s="4"/>
      <c r="D101" s="3" t="s">
        <v>347</v>
      </c>
      <c r="E101" s="4"/>
      <c r="F101" s="4"/>
    </row>
    <row r="102" spans="1:6" s="8" customFormat="1" ht="33">
      <c r="A102" s="8" t="s">
        <v>10</v>
      </c>
      <c r="B102" s="8" t="s">
        <v>80</v>
      </c>
      <c r="C102" s="8" t="s">
        <v>348</v>
      </c>
      <c r="D102" s="9" t="s">
        <v>349</v>
      </c>
      <c r="E102" s="8" t="s">
        <v>79</v>
      </c>
      <c r="F102" s="10" t="e">
        <f>(F103*F6)/((F105-F103)*F106)</f>
        <v>#VALUE!</v>
      </c>
    </row>
    <row r="103" spans="1:6" ht="33">
      <c r="A103" t="s">
        <v>9</v>
      </c>
      <c r="B103" t="s">
        <v>111</v>
      </c>
      <c r="C103" t="s">
        <v>350</v>
      </c>
      <c r="D103" s="6" t="s">
        <v>351</v>
      </c>
      <c r="E103" t="s">
        <v>9</v>
      </c>
      <c r="F103" s="7"/>
    </row>
    <row r="104" spans="1:6" ht="17.100000000000001">
      <c r="A104" t="s">
        <v>9</v>
      </c>
      <c r="B104" t="s">
        <v>111</v>
      </c>
      <c r="C104" t="s">
        <v>299</v>
      </c>
      <c r="D104" t="s">
        <v>300</v>
      </c>
      <c r="E104" t="s">
        <v>9</v>
      </c>
    </row>
    <row r="105" spans="1:6" ht="32.1" customHeight="1">
      <c r="A105" t="s">
        <v>9</v>
      </c>
      <c r="B105" t="s">
        <v>111</v>
      </c>
      <c r="C105" t="s">
        <v>293</v>
      </c>
      <c r="D105" s="6" t="s">
        <v>352</v>
      </c>
      <c r="E105" t="s">
        <v>9</v>
      </c>
    </row>
    <row r="106" spans="1:6" s="8" customFormat="1" ht="35.1" customHeight="1">
      <c r="A106" s="8" t="s">
        <v>10</v>
      </c>
      <c r="B106" s="8" t="s">
        <v>80</v>
      </c>
      <c r="C106" s="8" t="s">
        <v>345</v>
      </c>
      <c r="D106" s="9" t="s">
        <v>346</v>
      </c>
      <c r="E106" s="8" t="s">
        <v>9</v>
      </c>
      <c r="F106" s="10" t="e">
        <f>SUM(F108,F113)</f>
        <v>#VALUE!</v>
      </c>
    </row>
    <row r="107" spans="1:6" s="5" customFormat="1" ht="18.95">
      <c r="A107" s="3"/>
      <c r="B107" s="4"/>
      <c r="C107" s="4"/>
      <c r="D107" s="3" t="s">
        <v>353</v>
      </c>
      <c r="E107" s="4"/>
      <c r="F107" s="4"/>
    </row>
    <row r="108" spans="1:6" s="8" customFormat="1" ht="48">
      <c r="A108" s="8" t="s">
        <v>10</v>
      </c>
      <c r="B108" s="8" t="s">
        <v>80</v>
      </c>
      <c r="C108" s="8" t="s">
        <v>354</v>
      </c>
      <c r="D108" s="9" t="s">
        <v>355</v>
      </c>
      <c r="E108" s="8" t="s">
        <v>79</v>
      </c>
      <c r="F108" s="10" t="e">
        <f>F109*F111</f>
        <v>#VALUE!</v>
      </c>
    </row>
    <row r="109" spans="1:6" ht="63.95" customHeight="1">
      <c r="A109" t="s">
        <v>9</v>
      </c>
      <c r="B109" t="s">
        <v>153</v>
      </c>
      <c r="C109" t="s">
        <v>356</v>
      </c>
      <c r="D109" s="6" t="s">
        <v>357</v>
      </c>
    </row>
    <row r="110" spans="1:6" s="105" customFormat="1" ht="50.1" customHeight="1">
      <c r="A110" s="105" t="s">
        <v>9</v>
      </c>
      <c r="B110" s="105" t="s">
        <v>83</v>
      </c>
      <c r="C110" s="105" t="s">
        <v>12</v>
      </c>
      <c r="D110" s="106" t="s">
        <v>358</v>
      </c>
      <c r="E110" s="105" t="s">
        <v>248</v>
      </c>
      <c r="F110" s="105" t="s">
        <v>359</v>
      </c>
    </row>
    <row r="111" spans="1:6" s="8" customFormat="1" ht="53.1" customHeight="1">
      <c r="A111" s="8" t="s">
        <v>9</v>
      </c>
      <c r="B111" s="8" t="s">
        <v>80</v>
      </c>
      <c r="C111" s="8" t="s">
        <v>263</v>
      </c>
      <c r="D111" s="9" t="s">
        <v>360</v>
      </c>
      <c r="E111" s="8" t="s">
        <v>248</v>
      </c>
      <c r="F111" s="16" t="s">
        <v>361</v>
      </c>
    </row>
    <row r="112" spans="1:6" s="5" customFormat="1" ht="18.95">
      <c r="A112" s="3"/>
      <c r="B112" s="4"/>
      <c r="C112" s="4"/>
      <c r="D112" s="3" t="s">
        <v>353</v>
      </c>
      <c r="E112" s="4"/>
      <c r="F112" s="4"/>
    </row>
    <row r="113" spans="1:6" s="8" customFormat="1" ht="48">
      <c r="A113" s="8" t="s">
        <v>10</v>
      </c>
      <c r="B113" s="8" t="s">
        <v>80</v>
      </c>
      <c r="C113" s="8" t="s">
        <v>354</v>
      </c>
      <c r="D113" s="9" t="s">
        <v>355</v>
      </c>
      <c r="E113" s="8" t="s">
        <v>79</v>
      </c>
      <c r="F113" s="10" t="e">
        <f>F114*F116</f>
        <v>#VALUE!</v>
      </c>
    </row>
    <row r="114" spans="1:6" ht="62.1" customHeight="1">
      <c r="A114" t="s">
        <v>9</v>
      </c>
      <c r="B114" t="s">
        <v>153</v>
      </c>
      <c r="C114" t="s">
        <v>356</v>
      </c>
      <c r="D114" s="6" t="s">
        <v>357</v>
      </c>
      <c r="F114" s="7"/>
    </row>
    <row r="115" spans="1:6" s="105" customFormat="1" ht="50.1" customHeight="1">
      <c r="A115" s="105" t="s">
        <v>9</v>
      </c>
      <c r="B115" s="105" t="s">
        <v>83</v>
      </c>
      <c r="C115" s="105" t="s">
        <v>12</v>
      </c>
      <c r="D115" s="106" t="s">
        <v>358</v>
      </c>
      <c r="E115" s="105" t="s">
        <v>248</v>
      </c>
      <c r="F115" s="105" t="s">
        <v>359</v>
      </c>
    </row>
    <row r="116" spans="1:6" s="8" customFormat="1" ht="48" customHeight="1">
      <c r="A116" s="8" t="s">
        <v>9</v>
      </c>
      <c r="B116" s="8" t="s">
        <v>80</v>
      </c>
      <c r="C116" s="8" t="s">
        <v>263</v>
      </c>
      <c r="D116" s="9" t="s">
        <v>360</v>
      </c>
      <c r="E116" s="8" t="s">
        <v>248</v>
      </c>
      <c r="F116" s="16" t="s">
        <v>361</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F06FF-B349-CB4C-BC48-FF9FE1C90890}">
  <dimension ref="A1:H39"/>
  <sheetViews>
    <sheetView zoomScale="80" zoomScaleNormal="80" workbookViewId="0">
      <selection activeCell="F11" sqref="F11"/>
    </sheetView>
  </sheetViews>
  <sheetFormatPr defaultColWidth="8.85546875" defaultRowHeight="15"/>
  <cols>
    <col min="1" max="1" width="12.42578125" bestFit="1" customWidth="1"/>
    <col min="2" max="2" width="12.7109375" customWidth="1"/>
    <col min="3" max="3" width="15" customWidth="1"/>
    <col min="4" max="4" width="17" bestFit="1" customWidth="1"/>
    <col min="5" max="5" width="13.42578125" bestFit="1" customWidth="1"/>
    <col min="6" max="6" width="59" customWidth="1"/>
    <col min="7" max="7" width="25.42578125" customWidth="1"/>
    <col min="8" max="8" width="97.28515625" customWidth="1"/>
  </cols>
  <sheetData>
    <row r="1" spans="1:8" ht="39.75" customHeight="1">
      <c r="A1" s="37" t="s">
        <v>0</v>
      </c>
      <c r="B1" s="37" t="s">
        <v>362</v>
      </c>
      <c r="C1" s="38" t="s">
        <v>363</v>
      </c>
      <c r="D1" s="37" t="s">
        <v>3</v>
      </c>
      <c r="E1" s="37" t="s">
        <v>5</v>
      </c>
      <c r="F1" s="25" t="s">
        <v>6</v>
      </c>
      <c r="G1" s="25" t="s">
        <v>7</v>
      </c>
      <c r="H1" s="38" t="s">
        <v>364</v>
      </c>
    </row>
    <row r="2" spans="1:8" ht="30" customHeight="1">
      <c r="A2" s="169" t="s">
        <v>365</v>
      </c>
      <c r="B2" s="169"/>
      <c r="C2" s="169"/>
      <c r="D2" s="169"/>
      <c r="E2" s="169"/>
      <c r="F2" s="169"/>
      <c r="G2" s="169"/>
      <c r="H2" s="169"/>
    </row>
    <row r="3" spans="1:8" ht="32.1">
      <c r="A3" s="8" t="s">
        <v>10</v>
      </c>
      <c r="B3" s="8"/>
      <c r="C3" s="8" t="s">
        <v>10</v>
      </c>
      <c r="D3" s="8" t="s">
        <v>366</v>
      </c>
      <c r="E3" s="39" t="s">
        <v>367</v>
      </c>
      <c r="F3" s="40" t="s">
        <v>368</v>
      </c>
      <c r="G3" s="10">
        <f>SUM((G11*G12),(G29*G30))</f>
        <v>73.333333333333329</v>
      </c>
      <c r="H3" s="10" t="s">
        <v>369</v>
      </c>
    </row>
    <row r="4" spans="1:8" ht="46.5" customHeight="1">
      <c r="A4" s="169" t="s">
        <v>370</v>
      </c>
      <c r="B4" s="169"/>
      <c r="C4" s="169"/>
      <c r="D4" s="169"/>
      <c r="E4" s="169"/>
      <c r="F4" s="169"/>
      <c r="G4" s="169"/>
      <c r="H4" s="169"/>
    </row>
    <row r="5" spans="1:8" ht="33" customHeight="1">
      <c r="A5" t="s">
        <v>9</v>
      </c>
      <c r="C5" t="s">
        <v>9</v>
      </c>
      <c r="D5" t="s">
        <v>11</v>
      </c>
      <c r="E5" s="41" t="s">
        <v>371</v>
      </c>
      <c r="F5" s="42" t="s">
        <v>372</v>
      </c>
      <c r="G5" t="s">
        <v>373</v>
      </c>
    </row>
    <row r="6" spans="1:8" ht="15.95">
      <c r="A6" t="s">
        <v>9</v>
      </c>
      <c r="C6" t="s">
        <v>9</v>
      </c>
      <c r="D6" t="s">
        <v>11</v>
      </c>
      <c r="F6" s="42" t="s">
        <v>374</v>
      </c>
      <c r="G6" t="s">
        <v>375</v>
      </c>
    </row>
    <row r="7" spans="1:8" ht="89.25" customHeight="1">
      <c r="A7" s="28" t="s">
        <v>9</v>
      </c>
      <c r="B7" s="28"/>
      <c r="C7" s="28" t="s">
        <v>9</v>
      </c>
      <c r="D7" s="28" t="s">
        <v>376</v>
      </c>
      <c r="E7" s="28"/>
      <c r="F7" s="43" t="s">
        <v>377</v>
      </c>
      <c r="G7" s="28" t="s">
        <v>378</v>
      </c>
      <c r="H7" s="44" t="s">
        <v>379</v>
      </c>
    </row>
    <row r="8" spans="1:8" ht="32.1">
      <c r="A8" s="28" t="s">
        <v>9</v>
      </c>
      <c r="B8" s="28"/>
      <c r="C8" s="28" t="s">
        <v>9</v>
      </c>
      <c r="D8" s="28" t="s">
        <v>376</v>
      </c>
      <c r="E8" s="28"/>
      <c r="F8" s="43" t="s">
        <v>380</v>
      </c>
      <c r="G8" s="28" t="s">
        <v>381</v>
      </c>
      <c r="H8" s="29" t="s">
        <v>382</v>
      </c>
    </row>
    <row r="9" spans="1:8" ht="21">
      <c r="A9" s="168" t="s">
        <v>383</v>
      </c>
      <c r="B9" s="168"/>
      <c r="C9" s="168"/>
      <c r="D9" s="168"/>
      <c r="E9" s="168"/>
      <c r="F9" s="168"/>
      <c r="G9" s="168"/>
      <c r="H9" s="168"/>
    </row>
    <row r="10" spans="1:8" ht="32.1">
      <c r="A10" s="8" t="s">
        <v>10</v>
      </c>
      <c r="B10" s="8"/>
      <c r="C10" s="8" t="s">
        <v>10</v>
      </c>
      <c r="D10" s="8" t="s">
        <v>366</v>
      </c>
      <c r="E10" s="39" t="s">
        <v>367</v>
      </c>
      <c r="F10" s="40" t="s">
        <v>384</v>
      </c>
      <c r="G10" s="10">
        <f>G11*G12</f>
        <v>36.666666666666664</v>
      </c>
      <c r="H10" s="10"/>
    </row>
    <row r="11" spans="1:8" ht="32.1">
      <c r="A11" t="s">
        <v>9</v>
      </c>
      <c r="C11" t="s">
        <v>9</v>
      </c>
      <c r="D11" t="s">
        <v>111</v>
      </c>
      <c r="E11" s="45" t="s">
        <v>385</v>
      </c>
      <c r="F11" s="42" t="s">
        <v>386</v>
      </c>
      <c r="G11" s="7">
        <v>20</v>
      </c>
      <c r="H11" s="7"/>
    </row>
    <row r="12" spans="1:8" ht="26.1">
      <c r="A12" s="8" t="s">
        <v>9</v>
      </c>
      <c r="B12" s="8"/>
      <c r="C12" s="8" t="s">
        <v>10</v>
      </c>
      <c r="D12" s="8" t="s">
        <v>366</v>
      </c>
      <c r="E12" s="46" t="s">
        <v>387</v>
      </c>
      <c r="F12" s="40" t="s">
        <v>388</v>
      </c>
      <c r="G12" s="10">
        <f>G14</f>
        <v>1.8333333333333333</v>
      </c>
      <c r="H12" s="47" t="s">
        <v>389</v>
      </c>
    </row>
    <row r="13" spans="1:8" ht="21">
      <c r="A13" s="168" t="s">
        <v>390</v>
      </c>
      <c r="B13" s="168"/>
      <c r="C13" s="168"/>
      <c r="D13" s="168"/>
      <c r="E13" s="168"/>
      <c r="F13" s="168"/>
      <c r="G13" s="168"/>
      <c r="H13" s="168"/>
    </row>
    <row r="14" spans="1:8" ht="26.1">
      <c r="A14" s="8" t="s">
        <v>10</v>
      </c>
      <c r="B14" s="8"/>
      <c r="C14" s="8" t="s">
        <v>10</v>
      </c>
      <c r="D14" s="8" t="s">
        <v>366</v>
      </c>
      <c r="E14" s="39" t="s">
        <v>387</v>
      </c>
      <c r="F14" s="40" t="s">
        <v>391</v>
      </c>
      <c r="G14" s="10">
        <f>G16*(44/12)</f>
        <v>1.8333333333333333</v>
      </c>
      <c r="H14" s="10" t="s">
        <v>392</v>
      </c>
    </row>
    <row r="15" spans="1:8" ht="26.1">
      <c r="A15" s="8" t="s">
        <v>10</v>
      </c>
      <c r="B15" s="8"/>
      <c r="C15" s="8" t="s">
        <v>10</v>
      </c>
      <c r="D15" s="8" t="s">
        <v>366</v>
      </c>
      <c r="E15" s="39" t="s">
        <v>387</v>
      </c>
      <c r="F15" s="40" t="s">
        <v>393</v>
      </c>
      <c r="G15" s="10">
        <f>G16*G17*(44/12)</f>
        <v>3.6666666666666665</v>
      </c>
      <c r="H15" s="10" t="s">
        <v>394</v>
      </c>
    </row>
    <row r="16" spans="1:8" ht="32.1">
      <c r="A16" t="s">
        <v>9</v>
      </c>
      <c r="C16" t="s">
        <v>9</v>
      </c>
      <c r="D16" t="s">
        <v>111</v>
      </c>
      <c r="E16" s="45" t="s">
        <v>395</v>
      </c>
      <c r="F16" s="42" t="s">
        <v>396</v>
      </c>
      <c r="G16" s="7">
        <v>0.5</v>
      </c>
      <c r="H16" s="7"/>
    </row>
    <row r="17" spans="1:8" ht="32.1">
      <c r="A17" t="s">
        <v>9</v>
      </c>
      <c r="C17" t="s">
        <v>9</v>
      </c>
      <c r="D17" t="s">
        <v>111</v>
      </c>
      <c r="E17" s="45" t="s">
        <v>397</v>
      </c>
      <c r="F17" s="42" t="s">
        <v>398</v>
      </c>
      <c r="G17" s="7">
        <v>2</v>
      </c>
      <c r="H17" s="7"/>
    </row>
    <row r="18" spans="1:8" ht="21">
      <c r="A18" s="168" t="s">
        <v>399</v>
      </c>
      <c r="B18" s="168"/>
      <c r="C18" s="168"/>
      <c r="D18" s="168"/>
      <c r="E18" s="168"/>
      <c r="F18" s="168"/>
      <c r="G18" s="168"/>
      <c r="H18" s="168"/>
    </row>
    <row r="19" spans="1:8" ht="26.1">
      <c r="A19" s="8" t="s">
        <v>10</v>
      </c>
      <c r="B19" s="8"/>
      <c r="C19" s="8" t="s">
        <v>10</v>
      </c>
      <c r="D19" s="8" t="s">
        <v>366</v>
      </c>
      <c r="E19" s="39" t="s">
        <v>387</v>
      </c>
      <c r="F19" s="47" t="s">
        <v>388</v>
      </c>
      <c r="G19" s="10">
        <f>G20*G21</f>
        <v>11.15</v>
      </c>
      <c r="H19" s="10"/>
    </row>
    <row r="20" spans="1:8" ht="32.1">
      <c r="A20" t="s">
        <v>9</v>
      </c>
      <c r="C20" t="s">
        <v>9</v>
      </c>
      <c r="D20" t="s">
        <v>111</v>
      </c>
      <c r="E20" s="45" t="s">
        <v>400</v>
      </c>
      <c r="F20" s="6" t="s">
        <v>401</v>
      </c>
      <c r="G20" s="7">
        <v>0.5</v>
      </c>
      <c r="H20" s="7"/>
    </row>
    <row r="21" spans="1:8" ht="26.1">
      <c r="A21" t="s">
        <v>9</v>
      </c>
      <c r="C21" t="s">
        <v>9</v>
      </c>
      <c r="D21" t="s">
        <v>111</v>
      </c>
      <c r="E21" s="45" t="s">
        <v>402</v>
      </c>
      <c r="F21" s="6" t="s">
        <v>403</v>
      </c>
      <c r="G21" s="7">
        <v>22.3</v>
      </c>
      <c r="H21" s="7"/>
    </row>
    <row r="22" spans="1:8" ht="46.5" customHeight="1">
      <c r="A22" s="169" t="s">
        <v>404</v>
      </c>
      <c r="B22" s="169"/>
      <c r="C22" s="169"/>
      <c r="D22" s="169"/>
      <c r="E22" s="169"/>
      <c r="F22" s="169"/>
      <c r="G22" s="169"/>
      <c r="H22" s="169"/>
    </row>
    <row r="23" spans="1:8" ht="33" customHeight="1">
      <c r="A23" t="s">
        <v>9</v>
      </c>
      <c r="C23" t="s">
        <v>9</v>
      </c>
      <c r="D23" t="s">
        <v>11</v>
      </c>
      <c r="E23" s="45" t="s">
        <v>371</v>
      </c>
      <c r="F23" s="42" t="s">
        <v>372</v>
      </c>
      <c r="G23" t="s">
        <v>373</v>
      </c>
    </row>
    <row r="24" spans="1:8" ht="15.95">
      <c r="A24" t="s">
        <v>9</v>
      </c>
      <c r="C24" t="s">
        <v>9</v>
      </c>
      <c r="D24" t="s">
        <v>11</v>
      </c>
      <c r="E24" s="48"/>
      <c r="F24" s="42" t="s">
        <v>374</v>
      </c>
      <c r="G24" t="s">
        <v>375</v>
      </c>
    </row>
    <row r="25" spans="1:8" ht="48">
      <c r="A25" s="28" t="s">
        <v>9</v>
      </c>
      <c r="B25" s="28"/>
      <c r="C25" s="28" t="s">
        <v>9</v>
      </c>
      <c r="D25" s="28" t="s">
        <v>83</v>
      </c>
      <c r="E25" s="49"/>
      <c r="F25" s="43" t="s">
        <v>377</v>
      </c>
      <c r="G25" s="28" t="s">
        <v>405</v>
      </c>
      <c r="H25" s="44" t="s">
        <v>379</v>
      </c>
    </row>
    <row r="26" spans="1:8" ht="32.1">
      <c r="A26" s="28" t="s">
        <v>9</v>
      </c>
      <c r="B26" s="28"/>
      <c r="C26" s="28" t="s">
        <v>9</v>
      </c>
      <c r="D26" s="28" t="s">
        <v>83</v>
      </c>
      <c r="E26" s="49"/>
      <c r="F26" s="43" t="s">
        <v>380</v>
      </c>
      <c r="G26" s="28" t="s">
        <v>406</v>
      </c>
      <c r="H26" s="29" t="s">
        <v>382</v>
      </c>
    </row>
    <row r="27" spans="1:8" ht="21">
      <c r="A27" s="168" t="s">
        <v>383</v>
      </c>
      <c r="B27" s="168"/>
      <c r="C27" s="168"/>
      <c r="D27" s="168"/>
      <c r="E27" s="168"/>
      <c r="F27" s="168"/>
      <c r="G27" s="168"/>
      <c r="H27" s="168"/>
    </row>
    <row r="28" spans="1:8" ht="32.1">
      <c r="A28" s="8" t="s">
        <v>10</v>
      </c>
      <c r="B28" s="8"/>
      <c r="C28" s="8" t="s">
        <v>10</v>
      </c>
      <c r="D28" s="8" t="s">
        <v>366</v>
      </c>
      <c r="E28" s="39" t="s">
        <v>367</v>
      </c>
      <c r="F28" s="40" t="s">
        <v>384</v>
      </c>
      <c r="G28" s="10">
        <f>G29*G30</f>
        <v>36.666666666666664</v>
      </c>
      <c r="H28" s="10"/>
    </row>
    <row r="29" spans="1:8" ht="32.1">
      <c r="A29" t="s">
        <v>9</v>
      </c>
      <c r="C29" t="s">
        <v>9</v>
      </c>
      <c r="D29" t="s">
        <v>111</v>
      </c>
      <c r="E29" s="45" t="s">
        <v>385</v>
      </c>
      <c r="F29" s="42" t="s">
        <v>386</v>
      </c>
      <c r="G29" s="7">
        <v>10</v>
      </c>
      <c r="H29" s="7"/>
    </row>
    <row r="30" spans="1:8" ht="26.1">
      <c r="A30" s="8" t="s">
        <v>9</v>
      </c>
      <c r="B30" s="8"/>
      <c r="C30" s="8" t="s">
        <v>9</v>
      </c>
      <c r="D30" s="8" t="s">
        <v>366</v>
      </c>
      <c r="E30" s="46" t="s">
        <v>387</v>
      </c>
      <c r="F30" s="40" t="s">
        <v>388</v>
      </c>
      <c r="G30" s="10">
        <f>G33</f>
        <v>3.6666666666666665</v>
      </c>
      <c r="H30" s="47" t="s">
        <v>407</v>
      </c>
    </row>
    <row r="31" spans="1:8" ht="21">
      <c r="A31" s="168" t="s">
        <v>390</v>
      </c>
      <c r="B31" s="168"/>
      <c r="C31" s="168"/>
      <c r="D31" s="168"/>
      <c r="E31" s="168"/>
      <c r="F31" s="168"/>
      <c r="G31" s="168"/>
      <c r="H31" s="168"/>
    </row>
    <row r="32" spans="1:8" ht="26.1">
      <c r="A32" s="8" t="s">
        <v>10</v>
      </c>
      <c r="B32" s="8"/>
      <c r="C32" s="8" t="s">
        <v>10</v>
      </c>
      <c r="D32" s="8" t="s">
        <v>366</v>
      </c>
      <c r="E32" s="39" t="s">
        <v>387</v>
      </c>
      <c r="F32" s="40" t="s">
        <v>391</v>
      </c>
      <c r="G32" s="10">
        <f>G34*(44/12)</f>
        <v>1.8333333333333333</v>
      </c>
      <c r="H32" s="10" t="s">
        <v>392</v>
      </c>
    </row>
    <row r="33" spans="1:8" ht="26.1">
      <c r="A33" s="8" t="s">
        <v>10</v>
      </c>
      <c r="B33" s="8"/>
      <c r="C33" s="8" t="s">
        <v>10</v>
      </c>
      <c r="D33" s="8" t="s">
        <v>366</v>
      </c>
      <c r="E33" s="39" t="s">
        <v>387</v>
      </c>
      <c r="F33" s="40" t="s">
        <v>393</v>
      </c>
      <c r="G33" s="10">
        <f>G34*G35*(44/12)</f>
        <v>3.6666666666666665</v>
      </c>
      <c r="H33" s="10" t="s">
        <v>394</v>
      </c>
    </row>
    <row r="34" spans="1:8" ht="32.1">
      <c r="A34" t="s">
        <v>9</v>
      </c>
      <c r="C34" t="s">
        <v>9</v>
      </c>
      <c r="D34" t="s">
        <v>111</v>
      </c>
      <c r="E34" s="45" t="s">
        <v>395</v>
      </c>
      <c r="F34" s="42" t="s">
        <v>396</v>
      </c>
      <c r="G34" s="7">
        <v>0.5</v>
      </c>
      <c r="H34" s="7"/>
    </row>
    <row r="35" spans="1:8" ht="32.1">
      <c r="A35" t="s">
        <v>9</v>
      </c>
      <c r="C35" t="s">
        <v>9</v>
      </c>
      <c r="D35" t="s">
        <v>111</v>
      </c>
      <c r="E35" s="45" t="s">
        <v>397</v>
      </c>
      <c r="F35" s="42" t="s">
        <v>398</v>
      </c>
      <c r="G35" s="7">
        <v>2</v>
      </c>
      <c r="H35" s="7"/>
    </row>
    <row r="36" spans="1:8" ht="21">
      <c r="A36" s="168" t="s">
        <v>399</v>
      </c>
      <c r="B36" s="168"/>
      <c r="C36" s="168"/>
      <c r="D36" s="168"/>
      <c r="E36" s="168"/>
      <c r="F36" s="168"/>
      <c r="G36" s="168"/>
      <c r="H36" s="168"/>
    </row>
    <row r="37" spans="1:8" ht="26.1">
      <c r="A37" s="8" t="s">
        <v>10</v>
      </c>
      <c r="B37" s="8"/>
      <c r="C37" s="8" t="s">
        <v>10</v>
      </c>
      <c r="D37" s="8" t="s">
        <v>366</v>
      </c>
      <c r="E37" s="39" t="s">
        <v>387</v>
      </c>
      <c r="F37" s="40" t="s">
        <v>388</v>
      </c>
      <c r="G37" s="10">
        <f>G38*G39</f>
        <v>11.15</v>
      </c>
      <c r="H37" s="10"/>
    </row>
    <row r="38" spans="1:8" ht="32.1">
      <c r="A38" t="s">
        <v>9</v>
      </c>
      <c r="C38" t="s">
        <v>9</v>
      </c>
      <c r="D38" t="s">
        <v>111</v>
      </c>
      <c r="E38" s="45" t="s">
        <v>400</v>
      </c>
      <c r="F38" s="42" t="s">
        <v>401</v>
      </c>
      <c r="G38" s="7">
        <v>0.5</v>
      </c>
      <c r="H38" s="7"/>
    </row>
    <row r="39" spans="1:8" ht="26.1">
      <c r="A39" t="s">
        <v>9</v>
      </c>
      <c r="C39" t="s">
        <v>9</v>
      </c>
      <c r="D39" t="s">
        <v>111</v>
      </c>
      <c r="E39" s="45" t="s">
        <v>402</v>
      </c>
      <c r="F39" s="42" t="s">
        <v>403</v>
      </c>
      <c r="G39" s="7">
        <v>22.3</v>
      </c>
      <c r="H39" s="7"/>
    </row>
  </sheetData>
  <mergeCells count="9">
    <mergeCell ref="A27:H27"/>
    <mergeCell ref="A31:H31"/>
    <mergeCell ref="A36:H36"/>
    <mergeCell ref="A2:H2"/>
    <mergeCell ref="A4:H4"/>
    <mergeCell ref="A9:H9"/>
    <mergeCell ref="A13:H13"/>
    <mergeCell ref="A18:H18"/>
    <mergeCell ref="A22:H22"/>
  </mergeCells>
  <dataValidations count="2">
    <dataValidation type="list" allowBlank="1" showInputMessage="1" showErrorMessage="1" sqref="G8 G26" xr:uid="{012CE3FF-0F94-7044-A491-6946210C3CF7}">
      <formula1>"Mass,Volume"</formula1>
    </dataValidation>
    <dataValidation type="list" allowBlank="1" showInputMessage="1" showErrorMessage="1" sqref="G7 G25" xr:uid="{8E3D983C-C8B1-7547-A53E-A9B03DCA3D23}">
      <formula1>"Option A,Option B"</formula1>
    </dataValidation>
  </dataValidations>
  <pageMargins left="0.7" right="0.7" top="0.75" bottom="0.75" header="0.3" footer="0.3"/>
  <pageSetup scale="34"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1EDC5-BB65-4C43-AF58-D8A1FD0F62F3}">
  <dimension ref="A1:H47"/>
  <sheetViews>
    <sheetView topLeftCell="B1" zoomScaleNormal="100" workbookViewId="0">
      <pane ySplit="1" topLeftCell="A4" activePane="bottomLeft" state="frozen"/>
      <selection pane="bottomLeft" activeCell="G11" sqref="G11"/>
      <selection activeCell="G6" sqref="G6"/>
    </sheetView>
  </sheetViews>
  <sheetFormatPr defaultColWidth="8.85546875" defaultRowHeight="15"/>
  <cols>
    <col min="1" max="1" width="12.42578125" style="126" bestFit="1" customWidth="1"/>
    <col min="2" max="2" width="13.140625" style="126" bestFit="1" customWidth="1"/>
    <col min="3" max="3" width="11.7109375" style="126" bestFit="1" customWidth="1"/>
    <col min="4" max="4" width="17.140625" style="126" bestFit="1" customWidth="1"/>
    <col min="5" max="5" width="17.28515625" style="126" bestFit="1" customWidth="1"/>
    <col min="6" max="6" width="84" style="126" customWidth="1"/>
    <col min="7" max="7" width="22.85546875" style="126" customWidth="1"/>
    <col min="8" max="8" width="94.42578125" style="126" customWidth="1"/>
    <col min="9" max="16384" width="8.85546875" style="126"/>
  </cols>
  <sheetData>
    <row r="1" spans="1:8" ht="39.75" customHeight="1">
      <c r="A1" s="123" t="s">
        <v>0</v>
      </c>
      <c r="B1" s="123" t="s">
        <v>362</v>
      </c>
      <c r="C1" s="124" t="s">
        <v>363</v>
      </c>
      <c r="D1" s="123" t="s">
        <v>3</v>
      </c>
      <c r="E1" s="123" t="s">
        <v>5</v>
      </c>
      <c r="F1" s="125" t="s">
        <v>6</v>
      </c>
      <c r="G1" s="125" t="s">
        <v>7</v>
      </c>
      <c r="H1" s="124" t="s">
        <v>364</v>
      </c>
    </row>
    <row r="2" spans="1:8" ht="30" customHeight="1">
      <c r="A2" s="171" t="s">
        <v>408</v>
      </c>
      <c r="B2" s="171"/>
      <c r="C2" s="171"/>
      <c r="D2" s="171"/>
      <c r="E2" s="171"/>
      <c r="F2" s="171"/>
      <c r="G2" s="171"/>
      <c r="H2" s="171"/>
    </row>
    <row r="3" spans="1:8" ht="33" customHeight="1">
      <c r="A3" s="172" t="s">
        <v>409</v>
      </c>
      <c r="B3" s="172"/>
      <c r="C3" s="172"/>
      <c r="D3" s="172"/>
      <c r="E3" s="172"/>
      <c r="F3" s="172"/>
      <c r="G3" s="172"/>
      <c r="H3" s="172"/>
    </row>
    <row r="4" spans="1:8" s="130" customFormat="1" ht="204">
      <c r="A4" s="127" t="s">
        <v>9</v>
      </c>
      <c r="B4" s="127"/>
      <c r="C4" s="127" t="s">
        <v>10</v>
      </c>
      <c r="D4" s="127" t="s">
        <v>83</v>
      </c>
      <c r="E4" s="127"/>
      <c r="F4" s="128" t="s">
        <v>410</v>
      </c>
      <c r="G4" s="128" t="s">
        <v>411</v>
      </c>
      <c r="H4" s="129" t="s">
        <v>412</v>
      </c>
    </row>
    <row r="5" spans="1:8" ht="30.75" customHeight="1">
      <c r="A5" s="173" t="s">
        <v>413</v>
      </c>
      <c r="B5" s="173"/>
      <c r="C5" s="173"/>
      <c r="D5" s="173"/>
      <c r="E5" s="173"/>
      <c r="F5" s="173"/>
      <c r="G5" s="173"/>
      <c r="H5" s="173"/>
    </row>
    <row r="6" spans="1:8" ht="26.1">
      <c r="A6" s="131" t="s">
        <v>10</v>
      </c>
      <c r="B6" s="131"/>
      <c r="C6" s="131" t="s">
        <v>10</v>
      </c>
      <c r="D6" s="131" t="s">
        <v>366</v>
      </c>
      <c r="E6" s="132" t="s">
        <v>414</v>
      </c>
      <c r="F6" s="133" t="s">
        <v>415</v>
      </c>
      <c r="G6" s="134">
        <f>SUM(G8*G7*(1+G9))</f>
        <v>0.73499999999999999</v>
      </c>
      <c r="H6" s="134"/>
    </row>
    <row r="7" spans="1:8" ht="26.1">
      <c r="A7" s="131" t="s">
        <v>10</v>
      </c>
      <c r="B7" s="131"/>
      <c r="C7" s="131" t="s">
        <v>10</v>
      </c>
      <c r="D7" s="131" t="s">
        <v>366</v>
      </c>
      <c r="E7" s="132" t="s">
        <v>416</v>
      </c>
      <c r="F7" s="133" t="s">
        <v>417</v>
      </c>
      <c r="G7" s="134">
        <f>G32</f>
        <v>0.25</v>
      </c>
      <c r="H7" s="133" t="s">
        <v>418</v>
      </c>
    </row>
    <row r="8" spans="1:8" ht="26.1">
      <c r="A8" s="130" t="s">
        <v>9</v>
      </c>
      <c r="B8" s="130"/>
      <c r="C8" s="130" t="s">
        <v>9</v>
      </c>
      <c r="D8" s="130" t="s">
        <v>111</v>
      </c>
      <c r="E8" s="135" t="s">
        <v>419</v>
      </c>
      <c r="F8" s="136" t="s">
        <v>420</v>
      </c>
      <c r="G8" s="137">
        <v>2.8</v>
      </c>
    </row>
    <row r="9" spans="1:8" ht="32.1">
      <c r="A9" s="130" t="s">
        <v>9</v>
      </c>
      <c r="B9" s="130"/>
      <c r="C9" s="130" t="s">
        <v>9</v>
      </c>
      <c r="D9" s="130" t="s">
        <v>111</v>
      </c>
      <c r="E9" s="135" t="s">
        <v>421</v>
      </c>
      <c r="F9" s="136" t="s">
        <v>422</v>
      </c>
      <c r="G9" s="137">
        <v>0.05</v>
      </c>
    </row>
    <row r="10" spans="1:8" ht="21" customHeight="1">
      <c r="A10" s="130" t="s">
        <v>9</v>
      </c>
      <c r="B10" s="130"/>
      <c r="C10" s="130" t="s">
        <v>9</v>
      </c>
      <c r="D10" s="130" t="s">
        <v>11</v>
      </c>
      <c r="E10" s="138" t="s">
        <v>129</v>
      </c>
      <c r="F10" s="126" t="s">
        <v>423</v>
      </c>
      <c r="G10" s="137"/>
    </row>
    <row r="11" spans="1:8" ht="26.1">
      <c r="A11" s="131" t="s">
        <v>10</v>
      </c>
      <c r="B11" s="131"/>
      <c r="C11" s="131" t="s">
        <v>10</v>
      </c>
      <c r="D11" s="131" t="s">
        <v>366</v>
      </c>
      <c r="E11" s="132" t="s">
        <v>424</v>
      </c>
      <c r="F11" s="133" t="s">
        <v>425</v>
      </c>
      <c r="G11" s="134">
        <f>SUM(G13*G12*(1+G14))</f>
        <v>1.1287499999999999</v>
      </c>
      <c r="H11" s="134"/>
    </row>
    <row r="12" spans="1:8" ht="26.1">
      <c r="A12" s="131" t="s">
        <v>10</v>
      </c>
      <c r="B12" s="131"/>
      <c r="C12" s="131" t="s">
        <v>10</v>
      </c>
      <c r="D12" s="131" t="s">
        <v>366</v>
      </c>
      <c r="E12" s="132" t="s">
        <v>426</v>
      </c>
      <c r="F12" s="133" t="s">
        <v>427</v>
      </c>
      <c r="G12" s="134">
        <f>G32</f>
        <v>0.25</v>
      </c>
      <c r="H12" s="133" t="s">
        <v>418</v>
      </c>
    </row>
    <row r="13" spans="1:8" ht="26.1">
      <c r="A13" s="130" t="s">
        <v>9</v>
      </c>
      <c r="B13" s="130"/>
      <c r="C13" s="130" t="s">
        <v>9</v>
      </c>
      <c r="D13" s="130" t="s">
        <v>111</v>
      </c>
      <c r="E13" s="135" t="s">
        <v>428</v>
      </c>
      <c r="F13" s="136" t="s">
        <v>429</v>
      </c>
      <c r="G13" s="137">
        <v>4.3</v>
      </c>
    </row>
    <row r="14" spans="1:8" ht="32.1">
      <c r="A14" s="130" t="s">
        <v>9</v>
      </c>
      <c r="B14" s="130"/>
      <c r="C14" s="130" t="s">
        <v>9</v>
      </c>
      <c r="D14" s="130" t="s">
        <v>111</v>
      </c>
      <c r="E14" s="135" t="s">
        <v>430</v>
      </c>
      <c r="F14" s="136" t="s">
        <v>431</v>
      </c>
      <c r="G14" s="137">
        <v>0.05</v>
      </c>
    </row>
    <row r="15" spans="1:8" ht="30" customHeight="1">
      <c r="A15" s="130" t="s">
        <v>9</v>
      </c>
      <c r="B15" s="130"/>
      <c r="C15" s="130" t="s">
        <v>9</v>
      </c>
      <c r="D15" s="130" t="s">
        <v>11</v>
      </c>
      <c r="E15" s="138" t="s">
        <v>354</v>
      </c>
      <c r="F15" s="126" t="s">
        <v>432</v>
      </c>
      <c r="G15" s="137"/>
    </row>
    <row r="16" spans="1:8" ht="26.1">
      <c r="A16" s="131" t="s">
        <v>10</v>
      </c>
      <c r="B16" s="131"/>
      <c r="C16" s="131" t="s">
        <v>10</v>
      </c>
      <c r="D16" s="131" t="s">
        <v>366</v>
      </c>
      <c r="E16" s="132" t="s">
        <v>433</v>
      </c>
      <c r="F16" s="133" t="s">
        <v>434</v>
      </c>
      <c r="G16" s="134">
        <f>SUM(G18*G17*(1+G19))</f>
        <v>0.39375000000000004</v>
      </c>
      <c r="H16" s="134"/>
    </row>
    <row r="17" spans="1:8" ht="26.1">
      <c r="A17" s="131" t="s">
        <v>10</v>
      </c>
      <c r="B17" s="131"/>
      <c r="C17" s="131" t="s">
        <v>10</v>
      </c>
      <c r="D17" s="131" t="s">
        <v>366</v>
      </c>
      <c r="E17" s="132" t="s">
        <v>435</v>
      </c>
      <c r="F17" s="133" t="s">
        <v>436</v>
      </c>
      <c r="G17" s="134">
        <f>G32</f>
        <v>0.25</v>
      </c>
      <c r="H17" s="133" t="s">
        <v>418</v>
      </c>
    </row>
    <row r="18" spans="1:8" ht="26.1">
      <c r="A18" s="130" t="s">
        <v>9</v>
      </c>
      <c r="B18" s="130"/>
      <c r="C18" s="130" t="s">
        <v>9</v>
      </c>
      <c r="D18" s="130" t="s">
        <v>111</v>
      </c>
      <c r="E18" s="135" t="s">
        <v>437</v>
      </c>
      <c r="F18" s="136" t="s">
        <v>438</v>
      </c>
      <c r="G18" s="137">
        <v>1.5</v>
      </c>
    </row>
    <row r="19" spans="1:8" ht="32.1">
      <c r="A19" s="130" t="s">
        <v>9</v>
      </c>
      <c r="B19" s="130"/>
      <c r="C19" s="130" t="s">
        <v>9</v>
      </c>
      <c r="D19" s="130" t="s">
        <v>111</v>
      </c>
      <c r="E19" s="135" t="s">
        <v>439</v>
      </c>
      <c r="F19" s="136" t="s">
        <v>440</v>
      </c>
      <c r="G19" s="137">
        <v>0.05</v>
      </c>
    </row>
    <row r="20" spans="1:8" ht="24" customHeight="1">
      <c r="A20" s="130" t="s">
        <v>9</v>
      </c>
      <c r="B20" s="130"/>
      <c r="C20" s="130" t="s">
        <v>9</v>
      </c>
      <c r="D20" s="130" t="s">
        <v>11</v>
      </c>
      <c r="E20" s="138" t="s">
        <v>441</v>
      </c>
      <c r="F20" s="126" t="s">
        <v>442</v>
      </c>
      <c r="G20" s="137"/>
    </row>
    <row r="21" spans="1:8" ht="36" customHeight="1">
      <c r="A21" s="174" t="s">
        <v>443</v>
      </c>
      <c r="B21" s="174"/>
      <c r="C21" s="174"/>
      <c r="D21" s="174"/>
      <c r="E21" s="174"/>
      <c r="F21" s="174"/>
      <c r="G21" s="174"/>
      <c r="H21" s="174"/>
    </row>
    <row r="22" spans="1:8" ht="28.5" customHeight="1">
      <c r="A22" s="139" t="s">
        <v>10</v>
      </c>
      <c r="B22" s="139"/>
      <c r="C22" s="139" t="s">
        <v>10</v>
      </c>
      <c r="D22" s="139" t="s">
        <v>366</v>
      </c>
      <c r="E22" s="132" t="s">
        <v>444</v>
      </c>
      <c r="F22" s="133" t="s">
        <v>445</v>
      </c>
      <c r="G22" s="134">
        <f>11400*1.3*G24</f>
        <v>0</v>
      </c>
      <c r="H22" s="134"/>
    </row>
    <row r="23" spans="1:8" ht="28.5" customHeight="1">
      <c r="A23" s="139" t="s">
        <v>10</v>
      </c>
      <c r="B23" s="139"/>
      <c r="C23" s="139" t="s">
        <v>10</v>
      </c>
      <c r="D23" s="139" t="s">
        <v>366</v>
      </c>
      <c r="E23" s="132" t="s">
        <v>446</v>
      </c>
      <c r="F23" s="133" t="s">
        <v>447</v>
      </c>
      <c r="G23" s="134">
        <f>11400*1.3*G26</f>
        <v>0</v>
      </c>
      <c r="H23" s="134"/>
    </row>
    <row r="24" spans="1:8" ht="32.1">
      <c r="A24" s="126" t="s">
        <v>10</v>
      </c>
      <c r="C24" s="126" t="s">
        <v>9</v>
      </c>
      <c r="D24" s="126" t="s">
        <v>111</v>
      </c>
      <c r="E24" s="135" t="s">
        <v>448</v>
      </c>
      <c r="F24" s="136" t="s">
        <v>449</v>
      </c>
    </row>
    <row r="25" spans="1:8" ht="32.1">
      <c r="A25" s="126" t="s">
        <v>9</v>
      </c>
      <c r="C25" s="126" t="s">
        <v>9</v>
      </c>
      <c r="D25" s="126" t="s">
        <v>11</v>
      </c>
      <c r="E25" s="135" t="s">
        <v>129</v>
      </c>
      <c r="F25" s="136" t="s">
        <v>450</v>
      </c>
    </row>
    <row r="26" spans="1:8" ht="32.1">
      <c r="A26" s="126" t="s">
        <v>10</v>
      </c>
      <c r="C26" s="126" t="s">
        <v>9</v>
      </c>
      <c r="D26" s="126" t="s">
        <v>111</v>
      </c>
      <c r="E26" s="135" t="s">
        <v>451</v>
      </c>
      <c r="F26" s="136" t="s">
        <v>452</v>
      </c>
    </row>
    <row r="27" spans="1:8" ht="32.1">
      <c r="A27" s="126" t="s">
        <v>9</v>
      </c>
      <c r="C27" s="126" t="s">
        <v>9</v>
      </c>
      <c r="D27" s="126" t="s">
        <v>11</v>
      </c>
      <c r="E27" s="135" t="s">
        <v>441</v>
      </c>
      <c r="F27" s="136" t="s">
        <v>453</v>
      </c>
    </row>
    <row r="28" spans="1:8" ht="21">
      <c r="A28" s="172" t="s">
        <v>454</v>
      </c>
      <c r="B28" s="172"/>
      <c r="C28" s="172"/>
      <c r="D28" s="172"/>
      <c r="E28" s="172"/>
      <c r="F28" s="172"/>
      <c r="G28" s="172"/>
      <c r="H28" s="172"/>
    </row>
    <row r="29" spans="1:8" ht="92.25" customHeight="1">
      <c r="A29" s="140" t="s">
        <v>9</v>
      </c>
      <c r="B29" s="140"/>
      <c r="C29" s="140" t="s">
        <v>10</v>
      </c>
      <c r="D29" s="140" t="s">
        <v>83</v>
      </c>
      <c r="E29" s="141" t="s">
        <v>455</v>
      </c>
      <c r="F29" s="142" t="s">
        <v>456</v>
      </c>
      <c r="G29" s="140" t="s">
        <v>457</v>
      </c>
      <c r="H29" s="141" t="s">
        <v>458</v>
      </c>
    </row>
    <row r="30" spans="1:8" ht="102" customHeight="1">
      <c r="A30" s="140" t="s">
        <v>9</v>
      </c>
      <c r="B30" s="140"/>
      <c r="C30" s="140" t="s">
        <v>10</v>
      </c>
      <c r="D30" s="140" t="s">
        <v>83</v>
      </c>
      <c r="E30" s="143" t="s">
        <v>459</v>
      </c>
      <c r="F30" s="142" t="s">
        <v>460</v>
      </c>
      <c r="G30" s="143" t="s">
        <v>461</v>
      </c>
      <c r="H30" s="144"/>
    </row>
    <row r="31" spans="1:8" ht="68.25" customHeight="1">
      <c r="A31" s="140" t="s">
        <v>9</v>
      </c>
      <c r="B31" s="140"/>
      <c r="C31" s="140" t="s">
        <v>10</v>
      </c>
      <c r="D31" s="140" t="s">
        <v>83</v>
      </c>
      <c r="E31" s="143" t="s">
        <v>462</v>
      </c>
      <c r="F31" s="142" t="s">
        <v>463</v>
      </c>
      <c r="G31" s="143" t="s">
        <v>10</v>
      </c>
      <c r="H31" s="144" t="s">
        <v>464</v>
      </c>
    </row>
    <row r="32" spans="1:8" ht="70.5" customHeight="1">
      <c r="A32" s="139" t="s">
        <v>10</v>
      </c>
      <c r="B32" s="139"/>
      <c r="C32" s="139" t="s">
        <v>10</v>
      </c>
      <c r="D32" s="139" t="s">
        <v>366</v>
      </c>
      <c r="E32" s="145" t="s">
        <v>465</v>
      </c>
      <c r="F32" s="133" t="s">
        <v>466</v>
      </c>
      <c r="G32" s="134">
        <v>0.25</v>
      </c>
      <c r="H32" s="146" t="s">
        <v>467</v>
      </c>
    </row>
    <row r="33" spans="1:8" ht="31.5" customHeight="1">
      <c r="A33" s="170" t="s">
        <v>468</v>
      </c>
      <c r="B33" s="170"/>
      <c r="C33" s="170"/>
      <c r="D33" s="170"/>
      <c r="E33" s="170"/>
      <c r="F33" s="170"/>
      <c r="G33" s="170"/>
      <c r="H33" s="170"/>
    </row>
    <row r="34" spans="1:8" ht="96">
      <c r="A34" s="140" t="s">
        <v>9</v>
      </c>
      <c r="B34" s="140"/>
      <c r="C34" s="140" t="s">
        <v>10</v>
      </c>
      <c r="D34" s="140" t="s">
        <v>83</v>
      </c>
      <c r="E34" s="142" t="s">
        <v>469</v>
      </c>
      <c r="F34" s="142" t="s">
        <v>470</v>
      </c>
      <c r="G34" s="142" t="s">
        <v>471</v>
      </c>
      <c r="H34" s="142" t="s">
        <v>472</v>
      </c>
    </row>
    <row r="35" spans="1:8" ht="48">
      <c r="A35" s="140" t="s">
        <v>9</v>
      </c>
      <c r="B35" s="140"/>
      <c r="C35" s="140" t="s">
        <v>10</v>
      </c>
      <c r="D35" s="140" t="s">
        <v>83</v>
      </c>
      <c r="E35" s="142" t="s">
        <v>473</v>
      </c>
      <c r="F35" s="142" t="s">
        <v>474</v>
      </c>
      <c r="G35" s="143" t="s">
        <v>475</v>
      </c>
      <c r="H35" s="142" t="s">
        <v>476</v>
      </c>
    </row>
    <row r="36" spans="1:8" ht="96">
      <c r="A36" s="140" t="s">
        <v>9</v>
      </c>
      <c r="B36" s="140"/>
      <c r="C36" s="140" t="s">
        <v>10</v>
      </c>
      <c r="D36" s="140" t="s">
        <v>83</v>
      </c>
      <c r="E36" s="142" t="s">
        <v>477</v>
      </c>
      <c r="F36" s="142" t="s">
        <v>478</v>
      </c>
      <c r="G36" s="142" t="s">
        <v>479</v>
      </c>
      <c r="H36" s="144" t="s">
        <v>480</v>
      </c>
    </row>
    <row r="37" spans="1:8" ht="63" customHeight="1">
      <c r="A37" s="139" t="s">
        <v>10</v>
      </c>
      <c r="B37" s="139"/>
      <c r="C37" s="139" t="s">
        <v>10</v>
      </c>
      <c r="D37" s="139" t="s">
        <v>366</v>
      </c>
      <c r="E37" s="145" t="s">
        <v>465</v>
      </c>
      <c r="F37" s="133" t="s">
        <v>481</v>
      </c>
      <c r="G37" s="134" t="e">
        <f>'[1]Tool 05.2 Power Plants'!G3</f>
        <v>#REF!</v>
      </c>
      <c r="H37" s="134" t="s">
        <v>482</v>
      </c>
    </row>
    <row r="38" spans="1:8" ht="49.5" customHeight="1">
      <c r="A38" s="139" t="s">
        <v>10</v>
      </c>
      <c r="B38" s="139"/>
      <c r="C38" s="139" t="s">
        <v>10</v>
      </c>
      <c r="D38" s="139" t="s">
        <v>366</v>
      </c>
      <c r="E38" s="145" t="s">
        <v>465</v>
      </c>
      <c r="F38" s="133" t="s">
        <v>483</v>
      </c>
      <c r="G38" s="134" t="e">
        <f>'[1]Tool 05.2 Power Plants'!G4</f>
        <v>#REF!</v>
      </c>
      <c r="H38" s="147" t="s">
        <v>484</v>
      </c>
    </row>
    <row r="39" spans="1:8" ht="21">
      <c r="A39" s="170" t="s">
        <v>485</v>
      </c>
      <c r="B39" s="170"/>
      <c r="C39" s="170"/>
      <c r="D39" s="170"/>
      <c r="E39" s="170"/>
      <c r="F39" s="170"/>
      <c r="G39" s="170"/>
      <c r="H39" s="170"/>
    </row>
    <row r="40" spans="1:8" ht="96">
      <c r="A40" s="140" t="s">
        <v>9</v>
      </c>
      <c r="B40" s="140"/>
      <c r="C40" s="140" t="s">
        <v>10</v>
      </c>
      <c r="D40" s="140" t="s">
        <v>83</v>
      </c>
      <c r="E40" s="142" t="s">
        <v>486</v>
      </c>
      <c r="F40" s="142" t="s">
        <v>487</v>
      </c>
      <c r="G40" s="143" t="s">
        <v>378</v>
      </c>
      <c r="H40" s="144" t="s">
        <v>488</v>
      </c>
    </row>
    <row r="41" spans="1:8" ht="45" customHeight="1">
      <c r="A41" s="139" t="s">
        <v>10</v>
      </c>
      <c r="B41" s="139"/>
      <c r="C41" s="139" t="s">
        <v>10</v>
      </c>
      <c r="D41" s="139" t="s">
        <v>366</v>
      </c>
      <c r="E41" s="145" t="s">
        <v>465</v>
      </c>
      <c r="F41" s="133" t="s">
        <v>466</v>
      </c>
      <c r="G41" s="134">
        <v>1.3</v>
      </c>
      <c r="H41" s="134" t="s">
        <v>489</v>
      </c>
    </row>
    <row r="42" spans="1:8" ht="34.5" customHeight="1">
      <c r="A42" s="139" t="s">
        <v>10</v>
      </c>
      <c r="B42" s="139"/>
      <c r="C42" s="139" t="s">
        <v>10</v>
      </c>
      <c r="D42" s="139" t="s">
        <v>366</v>
      </c>
      <c r="E42" s="145" t="s">
        <v>465</v>
      </c>
      <c r="F42" s="133" t="s">
        <v>490</v>
      </c>
      <c r="G42" s="134">
        <v>0.4</v>
      </c>
      <c r="H42" s="134" t="s">
        <v>491</v>
      </c>
    </row>
    <row r="43" spans="1:8" ht="21">
      <c r="A43" s="170" t="s">
        <v>492</v>
      </c>
      <c r="B43" s="170"/>
      <c r="C43" s="170"/>
      <c r="D43" s="170"/>
      <c r="E43" s="170"/>
      <c r="F43" s="170"/>
      <c r="G43" s="170"/>
      <c r="H43" s="170"/>
    </row>
    <row r="44" spans="1:8" ht="176.1">
      <c r="A44" s="140" t="s">
        <v>9</v>
      </c>
      <c r="B44" s="140"/>
      <c r="C44" s="140" t="s">
        <v>10</v>
      </c>
      <c r="D44" s="140" t="s">
        <v>83</v>
      </c>
      <c r="E44" s="140"/>
      <c r="F44" s="142" t="s">
        <v>493</v>
      </c>
      <c r="G44" s="143" t="s">
        <v>193</v>
      </c>
      <c r="H44" s="141"/>
    </row>
    <row r="45" spans="1:8" ht="15.95">
      <c r="A45" s="140" t="s">
        <v>9</v>
      </c>
      <c r="B45" s="140"/>
      <c r="C45" s="140" t="s">
        <v>10</v>
      </c>
      <c r="D45" s="140" t="s">
        <v>494</v>
      </c>
      <c r="E45" s="140"/>
      <c r="F45" s="141" t="s">
        <v>495</v>
      </c>
      <c r="G45" s="141" t="s">
        <v>496</v>
      </c>
      <c r="H45" s="141"/>
    </row>
    <row r="46" spans="1:8" ht="36.75" customHeight="1">
      <c r="A46" s="140" t="s">
        <v>9</v>
      </c>
      <c r="B46" s="140"/>
      <c r="C46" s="140" t="s">
        <v>10</v>
      </c>
      <c r="D46" s="140" t="s">
        <v>494</v>
      </c>
      <c r="E46" s="140"/>
      <c r="F46" s="141" t="s">
        <v>497</v>
      </c>
      <c r="G46" s="141" t="s">
        <v>498</v>
      </c>
      <c r="H46" s="141"/>
    </row>
    <row r="47" spans="1:8" ht="63.95">
      <c r="A47" s="140" t="s">
        <v>9</v>
      </c>
      <c r="B47" s="140"/>
      <c r="C47" s="140" t="s">
        <v>10</v>
      </c>
      <c r="D47" s="140" t="s">
        <v>494</v>
      </c>
      <c r="E47" s="140"/>
      <c r="F47" s="141" t="s">
        <v>499</v>
      </c>
      <c r="G47" s="141" t="s">
        <v>500</v>
      </c>
      <c r="H47" s="141" t="s">
        <v>501</v>
      </c>
    </row>
  </sheetData>
  <mergeCells count="8">
    <mergeCell ref="A39:H39"/>
    <mergeCell ref="A43:H43"/>
    <mergeCell ref="A2:H2"/>
    <mergeCell ref="A3:H3"/>
    <mergeCell ref="A5:H5"/>
    <mergeCell ref="A21:H21"/>
    <mergeCell ref="A28:H28"/>
    <mergeCell ref="A33:H33"/>
  </mergeCells>
  <dataValidations count="9">
    <dataValidation type="list" allowBlank="1" showInputMessage="1" showErrorMessage="1" sqref="G29" xr:uid="{4B30870F-5EBB-A246-831D-67689B76CB4B}">
      <formula1>"Option A1,Option A2"</formula1>
    </dataValidation>
    <dataValidation type="list" allowBlank="1" showInputMessage="1" showErrorMessage="1" sqref="G30" xr:uid="{049E8F09-FB16-A44A-B0C3-CCD14B78EB01}">
      <formula1>"Option 2.1,Option 2.2"</formula1>
    </dataValidation>
    <dataValidation type="list" allowBlank="1" showInputMessage="1" showErrorMessage="1" sqref="G31" xr:uid="{C09DD1E6-958D-EA48-840A-8723C0B53F9D}">
      <formula1>"Yes,No"</formula1>
    </dataValidation>
    <dataValidation type="list" allowBlank="1" showInputMessage="1" showErrorMessage="1" sqref="G4" xr:uid="{F5601917-0690-D140-9BB6-E5B2C83CB0EA}">
      <formula1>"A: From the Grid,B: Off-Grid Captive Power Plants,C: From the Grid and Captive Power Plant"</formula1>
    </dataValidation>
    <dataValidation type="list" allowBlank="1" showInputMessage="1" showErrorMessage="1" sqref="G34" xr:uid="{719DCF6B-0DC1-C64A-B535-61DDD664E3A6}">
      <formula1>"Yes: Alternative Approach, No: Generic Approach"</formula1>
    </dataValidation>
    <dataValidation type="list" allowBlank="1" showInputMessage="1" showErrorMessage="1" sqref="G35" xr:uid="{6D990422-D004-B148-8579-5E3C744D75A9}">
      <formula1>"Monitored Data, Default Values"</formula1>
    </dataValidation>
    <dataValidation type="list" allowBlank="1" showInputMessage="1" showErrorMessage="1" sqref="G36" xr:uid="{A8606887-24EF-814D-A695-39F800161054}">
      <formula1>"Heat Generation ignored,Fuel consumption between electricity and heat generation"</formula1>
    </dataValidation>
    <dataValidation type="list" allowBlank="1" showInputMessage="1" showErrorMessage="1" sqref="G40" xr:uid="{D6E8927C-078F-1C47-AA1A-5BFE16D6C72F}">
      <formula1>"Option A,Option B"</formula1>
    </dataValidation>
    <dataValidation type="list" allowBlank="1" showInputMessage="1" showErrorMessage="1" sqref="G44" xr:uid="{646E9595-AABA-3D45-A548-61F8BFD05B6F}">
      <formula1>"Case 1,Case 2, Case 3"</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04110-7EAB-C947-84AD-E80C39818AFE}">
  <dimension ref="A1:H40"/>
  <sheetViews>
    <sheetView topLeftCell="B7" workbookViewId="0">
      <selection activeCell="G6" sqref="G6"/>
    </sheetView>
  </sheetViews>
  <sheetFormatPr defaultColWidth="8.85546875" defaultRowHeight="15"/>
  <cols>
    <col min="1" max="1" width="12.28515625" style="126" bestFit="1" customWidth="1"/>
    <col min="2" max="2" width="13.140625" style="126" bestFit="1" customWidth="1"/>
    <col min="3" max="3" width="11.7109375" style="126" bestFit="1" customWidth="1"/>
    <col min="4" max="4" width="14.28515625" style="126" customWidth="1"/>
    <col min="5" max="5" width="16" style="126" customWidth="1"/>
    <col min="6" max="6" width="70.140625" style="126" customWidth="1"/>
    <col min="7" max="7" width="31" style="126" customWidth="1"/>
    <col min="8" max="8" width="58.140625" style="126" customWidth="1"/>
    <col min="9" max="16384" width="8.85546875" style="126"/>
  </cols>
  <sheetData>
    <row r="1" spans="1:8" ht="39.950000000000003">
      <c r="A1" s="123" t="s">
        <v>0</v>
      </c>
      <c r="B1" s="123" t="s">
        <v>362</v>
      </c>
      <c r="C1" s="124" t="s">
        <v>363</v>
      </c>
      <c r="D1" s="123" t="s">
        <v>3</v>
      </c>
      <c r="E1" s="123" t="s">
        <v>5</v>
      </c>
      <c r="F1" s="124" t="s">
        <v>6</v>
      </c>
      <c r="G1" s="123" t="s">
        <v>7</v>
      </c>
      <c r="H1" s="123" t="s">
        <v>364</v>
      </c>
    </row>
    <row r="2" spans="1:8" ht="18.95">
      <c r="A2" s="175" t="s">
        <v>502</v>
      </c>
      <c r="B2" s="175"/>
      <c r="C2" s="175"/>
      <c r="D2" s="175"/>
      <c r="E2" s="175"/>
      <c r="F2" s="175"/>
      <c r="G2" s="175"/>
      <c r="H2" s="175"/>
    </row>
    <row r="3" spans="1:8" ht="32.1">
      <c r="A3" s="139" t="s">
        <v>10</v>
      </c>
      <c r="B3" s="139"/>
      <c r="C3" s="139" t="s">
        <v>10</v>
      </c>
      <c r="D3" s="139" t="s">
        <v>503</v>
      </c>
      <c r="E3" s="145" t="s">
        <v>465</v>
      </c>
      <c r="F3" s="133" t="s">
        <v>504</v>
      </c>
      <c r="G3" s="134" t="e">
        <f>G7+G19+G31</f>
        <v>#N/A</v>
      </c>
      <c r="H3" s="148" t="s">
        <v>505</v>
      </c>
    </row>
    <row r="4" spans="1:8" ht="32.1">
      <c r="A4" s="139" t="s">
        <v>10</v>
      </c>
      <c r="B4" s="139"/>
      <c r="C4" s="139" t="s">
        <v>10</v>
      </c>
      <c r="D4" s="139" t="s">
        <v>503</v>
      </c>
      <c r="E4" s="145" t="s">
        <v>465</v>
      </c>
      <c r="F4" s="133" t="s">
        <v>483</v>
      </c>
      <c r="G4" s="134" t="e">
        <f>G8+G20+G32</f>
        <v>#N/A</v>
      </c>
      <c r="H4" s="149" t="s">
        <v>506</v>
      </c>
    </row>
    <row r="5" spans="1:8" ht="18.95">
      <c r="A5" s="175" t="s">
        <v>507</v>
      </c>
      <c r="B5" s="175"/>
      <c r="C5" s="175"/>
      <c r="D5" s="175"/>
      <c r="E5" s="175"/>
      <c r="F5" s="175"/>
      <c r="G5" s="175"/>
      <c r="H5" s="175"/>
    </row>
    <row r="6" spans="1:8">
      <c r="A6" s="150" t="s">
        <v>9</v>
      </c>
      <c r="B6" s="150"/>
      <c r="C6" s="150" t="s">
        <v>9</v>
      </c>
      <c r="D6" s="150" t="s">
        <v>11</v>
      </c>
      <c r="E6" s="151"/>
      <c r="F6" s="150" t="s">
        <v>508</v>
      </c>
      <c r="G6" s="150" t="s">
        <v>509</v>
      </c>
    </row>
    <row r="7" spans="1:8" ht="32.1">
      <c r="A7" s="139" t="s">
        <v>10</v>
      </c>
      <c r="B7" s="139"/>
      <c r="C7" s="139" t="s">
        <v>10</v>
      </c>
      <c r="D7" s="139" t="s">
        <v>503</v>
      </c>
      <c r="E7" s="145" t="s">
        <v>465</v>
      </c>
      <c r="F7" s="133" t="s">
        <v>504</v>
      </c>
      <c r="G7" s="134" t="e">
        <f>(G12*G10*G11)/G13</f>
        <v>#N/A</v>
      </c>
      <c r="H7" s="139"/>
    </row>
    <row r="8" spans="1:8" ht="32.1">
      <c r="A8" s="139" t="s">
        <v>10</v>
      </c>
      <c r="B8" s="139"/>
      <c r="C8" s="139" t="s">
        <v>10</v>
      </c>
      <c r="D8" s="139" t="s">
        <v>503</v>
      </c>
      <c r="E8" s="145" t="s">
        <v>465</v>
      </c>
      <c r="F8" s="133" t="s">
        <v>483</v>
      </c>
      <c r="G8" s="134" t="e">
        <f>ABS(((G12*G10)-(G14/G15))*G11)/G13</f>
        <v>#N/A</v>
      </c>
      <c r="H8" s="139"/>
    </row>
    <row r="9" spans="1:8" ht="15.95">
      <c r="A9" s="140" t="s">
        <v>9</v>
      </c>
      <c r="B9" s="140"/>
      <c r="C9" s="140" t="s">
        <v>10</v>
      </c>
      <c r="D9" s="140" t="s">
        <v>510</v>
      </c>
      <c r="E9" s="140"/>
      <c r="F9" s="141" t="s">
        <v>511</v>
      </c>
      <c r="G9" s="152" t="s">
        <v>512</v>
      </c>
      <c r="H9" s="140"/>
    </row>
    <row r="10" spans="1:8" ht="32.1">
      <c r="A10" s="139" t="s">
        <v>10</v>
      </c>
      <c r="B10" s="139"/>
      <c r="C10" s="139" t="s">
        <v>10</v>
      </c>
      <c r="D10" s="139" t="s">
        <v>503</v>
      </c>
      <c r="E10" s="153" t="s">
        <v>513</v>
      </c>
      <c r="F10" s="133" t="s">
        <v>514</v>
      </c>
      <c r="G10" s="134" t="e">
        <f>IF(G9="","",VLOOKUP(G9,'[1]Tool 05.3 Default Values'!B4:D56,2,FALSE))</f>
        <v>#N/A</v>
      </c>
      <c r="H10" s="133" t="s">
        <v>515</v>
      </c>
    </row>
    <row r="11" spans="1:8" ht="32.1">
      <c r="A11" s="139" t="s">
        <v>10</v>
      </c>
      <c r="B11" s="139"/>
      <c r="C11" s="139" t="s">
        <v>10</v>
      </c>
      <c r="D11" s="139" t="s">
        <v>503</v>
      </c>
      <c r="E11" s="153" t="s">
        <v>516</v>
      </c>
      <c r="F11" s="133" t="s">
        <v>517</v>
      </c>
      <c r="G11" s="134" t="e">
        <f>IF(G9="","",VLOOKUP(G9,'[1]Tool 05.3 Default Values'!B4:D56,3,FALSE))*0.001</f>
        <v>#N/A</v>
      </c>
      <c r="H11" s="133" t="s">
        <v>518</v>
      </c>
    </row>
    <row r="12" spans="1:8" ht="32.1">
      <c r="A12" s="126" t="s">
        <v>9</v>
      </c>
      <c r="C12" s="126" t="s">
        <v>9</v>
      </c>
      <c r="D12" s="126" t="s">
        <v>111</v>
      </c>
      <c r="E12" s="154" t="s">
        <v>519</v>
      </c>
      <c r="F12" s="136" t="s">
        <v>520</v>
      </c>
      <c r="G12" s="137">
        <v>2</v>
      </c>
    </row>
    <row r="13" spans="1:8" ht="32.1">
      <c r="A13" s="126" t="s">
        <v>9</v>
      </c>
      <c r="C13" s="126" t="s">
        <v>9</v>
      </c>
      <c r="D13" s="126" t="s">
        <v>111</v>
      </c>
      <c r="E13" s="154" t="s">
        <v>521</v>
      </c>
      <c r="F13" s="136" t="s">
        <v>522</v>
      </c>
      <c r="G13" s="137">
        <v>10000</v>
      </c>
    </row>
    <row r="14" spans="1:8" ht="48">
      <c r="A14" s="126" t="s">
        <v>9</v>
      </c>
      <c r="C14" s="126" t="s">
        <v>9</v>
      </c>
      <c r="D14" s="126" t="s">
        <v>111</v>
      </c>
      <c r="E14" s="154" t="s">
        <v>523</v>
      </c>
      <c r="F14" s="136" t="s">
        <v>524</v>
      </c>
      <c r="G14" s="137">
        <v>2</v>
      </c>
    </row>
    <row r="15" spans="1:8" ht="35.1">
      <c r="A15" s="139" t="s">
        <v>10</v>
      </c>
      <c r="B15" s="139"/>
      <c r="C15" s="139" t="s">
        <v>10</v>
      </c>
      <c r="D15" s="139" t="s">
        <v>503</v>
      </c>
      <c r="E15" s="155" t="s">
        <v>525</v>
      </c>
      <c r="F15" s="133" t="s">
        <v>526</v>
      </c>
      <c r="G15" s="134">
        <v>1</v>
      </c>
      <c r="H15" s="139" t="s">
        <v>527</v>
      </c>
    </row>
    <row r="16" spans="1:8" ht="35.1">
      <c r="A16" s="139" t="s">
        <v>10</v>
      </c>
      <c r="B16" s="139"/>
      <c r="C16" s="139" t="s">
        <v>10</v>
      </c>
      <c r="D16" s="139" t="s">
        <v>503</v>
      </c>
      <c r="E16" s="155" t="s">
        <v>525</v>
      </c>
      <c r="F16" s="133" t="s">
        <v>528</v>
      </c>
      <c r="G16" s="134">
        <v>0.6</v>
      </c>
      <c r="H16" s="139" t="s">
        <v>527</v>
      </c>
    </row>
    <row r="17" spans="1:8" ht="18.95">
      <c r="A17" s="175" t="s">
        <v>507</v>
      </c>
      <c r="B17" s="175"/>
      <c r="C17" s="175"/>
      <c r="D17" s="175"/>
      <c r="E17" s="175"/>
      <c r="F17" s="175"/>
      <c r="G17" s="175"/>
      <c r="H17" s="175"/>
    </row>
    <row r="18" spans="1:8">
      <c r="A18" s="150" t="s">
        <v>9</v>
      </c>
      <c r="B18" s="150"/>
      <c r="C18" s="150" t="s">
        <v>9</v>
      </c>
      <c r="D18" s="150" t="s">
        <v>11</v>
      </c>
      <c r="E18" s="151"/>
      <c r="F18" s="150" t="s">
        <v>508</v>
      </c>
      <c r="G18" s="150" t="s">
        <v>529</v>
      </c>
    </row>
    <row r="19" spans="1:8" ht="32.1">
      <c r="A19" s="139" t="s">
        <v>10</v>
      </c>
      <c r="B19" s="139"/>
      <c r="C19" s="139" t="s">
        <v>10</v>
      </c>
      <c r="D19" s="139" t="s">
        <v>503</v>
      </c>
      <c r="E19" s="145" t="s">
        <v>465</v>
      </c>
      <c r="F19" s="133" t="s">
        <v>504</v>
      </c>
      <c r="G19" s="134" t="e">
        <f>(G24*G22*G23)/G25</f>
        <v>#N/A</v>
      </c>
      <c r="H19" s="139"/>
    </row>
    <row r="20" spans="1:8" ht="32.1">
      <c r="A20" s="139" t="s">
        <v>10</v>
      </c>
      <c r="B20" s="139"/>
      <c r="C20" s="139" t="s">
        <v>10</v>
      </c>
      <c r="D20" s="139" t="s">
        <v>503</v>
      </c>
      <c r="E20" s="145" t="s">
        <v>465</v>
      </c>
      <c r="F20" s="133" t="s">
        <v>483</v>
      </c>
      <c r="G20" s="134" t="e">
        <f>ABS(((G24*G22)-(G26/G27))*G23)/G25</f>
        <v>#N/A</v>
      </c>
      <c r="H20" s="139"/>
    </row>
    <row r="21" spans="1:8" ht="15.95">
      <c r="A21" s="140" t="s">
        <v>9</v>
      </c>
      <c r="B21" s="140"/>
      <c r="C21" s="140" t="s">
        <v>10</v>
      </c>
      <c r="D21" s="140" t="s">
        <v>510</v>
      </c>
      <c r="E21" s="140"/>
      <c r="F21" s="141" t="s">
        <v>511</v>
      </c>
      <c r="G21" s="152" t="s">
        <v>530</v>
      </c>
      <c r="H21" s="140"/>
    </row>
    <row r="22" spans="1:8" ht="32.1">
      <c r="A22" s="139" t="s">
        <v>10</v>
      </c>
      <c r="B22" s="139"/>
      <c r="C22" s="139" t="s">
        <v>10</v>
      </c>
      <c r="D22" s="139" t="s">
        <v>503</v>
      </c>
      <c r="E22" s="153" t="s">
        <v>513</v>
      </c>
      <c r="F22" s="133" t="s">
        <v>514</v>
      </c>
      <c r="G22" s="134" t="e">
        <f>IF(G21="","",VLOOKUP(G21,'[1]Tool 05.3 Default Values'!B4:D56,2,FALSE))</f>
        <v>#N/A</v>
      </c>
      <c r="H22" s="133" t="s">
        <v>515</v>
      </c>
    </row>
    <row r="23" spans="1:8" ht="32.1">
      <c r="A23" s="139" t="s">
        <v>10</v>
      </c>
      <c r="B23" s="139"/>
      <c r="C23" s="139" t="s">
        <v>10</v>
      </c>
      <c r="D23" s="139" t="s">
        <v>503</v>
      </c>
      <c r="E23" s="153" t="s">
        <v>516</v>
      </c>
      <c r="F23" s="133" t="s">
        <v>517</v>
      </c>
      <c r="G23" s="134" t="e">
        <f>IF(G21="","",VLOOKUP(G21,'[1]Tool 05.3 Default Values'!B4:D56,3,FALSE))*0.001</f>
        <v>#N/A</v>
      </c>
      <c r="H23" s="133" t="s">
        <v>518</v>
      </c>
    </row>
    <row r="24" spans="1:8" ht="32.1">
      <c r="A24" s="126" t="s">
        <v>9</v>
      </c>
      <c r="C24" s="126" t="s">
        <v>9</v>
      </c>
      <c r="D24" s="126" t="s">
        <v>111</v>
      </c>
      <c r="E24" s="154" t="s">
        <v>519</v>
      </c>
      <c r="F24" s="136" t="s">
        <v>520</v>
      </c>
      <c r="G24" s="137">
        <v>2</v>
      </c>
    </row>
    <row r="25" spans="1:8" ht="32.1">
      <c r="A25" s="126" t="s">
        <v>9</v>
      </c>
      <c r="C25" s="126" t="s">
        <v>9</v>
      </c>
      <c r="D25" s="126" t="s">
        <v>111</v>
      </c>
      <c r="E25" s="154" t="s">
        <v>521</v>
      </c>
      <c r="F25" s="136" t="s">
        <v>522</v>
      </c>
      <c r="G25" s="137">
        <v>10000</v>
      </c>
    </row>
    <row r="26" spans="1:8" ht="48">
      <c r="A26" s="126" t="s">
        <v>9</v>
      </c>
      <c r="C26" s="126" t="s">
        <v>9</v>
      </c>
      <c r="D26" s="126" t="s">
        <v>111</v>
      </c>
      <c r="E26" s="154" t="s">
        <v>523</v>
      </c>
      <c r="F26" s="136" t="s">
        <v>524</v>
      </c>
      <c r="G26" s="137">
        <v>2</v>
      </c>
    </row>
    <row r="27" spans="1:8" ht="35.1">
      <c r="A27" s="139" t="s">
        <v>10</v>
      </c>
      <c r="B27" s="139"/>
      <c r="C27" s="139" t="s">
        <v>10</v>
      </c>
      <c r="D27" s="139" t="s">
        <v>503</v>
      </c>
      <c r="E27" s="155" t="s">
        <v>525</v>
      </c>
      <c r="F27" s="133" t="s">
        <v>526</v>
      </c>
      <c r="G27" s="134">
        <v>1</v>
      </c>
      <c r="H27" s="139" t="s">
        <v>527</v>
      </c>
    </row>
    <row r="28" spans="1:8" ht="35.1">
      <c r="A28" s="139" t="s">
        <v>10</v>
      </c>
      <c r="B28" s="139"/>
      <c r="C28" s="139" t="s">
        <v>10</v>
      </c>
      <c r="D28" s="139" t="s">
        <v>503</v>
      </c>
      <c r="E28" s="155" t="s">
        <v>525</v>
      </c>
      <c r="F28" s="133" t="s">
        <v>528</v>
      </c>
      <c r="G28" s="134">
        <v>0.6</v>
      </c>
      <c r="H28" s="139" t="s">
        <v>527</v>
      </c>
    </row>
    <row r="29" spans="1:8" ht="18.95">
      <c r="A29" s="175" t="s">
        <v>507</v>
      </c>
      <c r="B29" s="175"/>
      <c r="C29" s="175"/>
      <c r="D29" s="175"/>
      <c r="E29" s="175"/>
      <c r="F29" s="175"/>
      <c r="G29" s="175"/>
      <c r="H29" s="175"/>
    </row>
    <row r="30" spans="1:8">
      <c r="A30" s="150" t="s">
        <v>9</v>
      </c>
      <c r="B30" s="150"/>
      <c r="C30" s="150" t="s">
        <v>9</v>
      </c>
      <c r="D30" s="150" t="s">
        <v>11</v>
      </c>
      <c r="E30" s="151"/>
      <c r="F30" s="150" t="s">
        <v>508</v>
      </c>
      <c r="G30" s="150" t="s">
        <v>531</v>
      </c>
    </row>
    <row r="31" spans="1:8" ht="32.1">
      <c r="A31" s="139" t="s">
        <v>10</v>
      </c>
      <c r="B31" s="139"/>
      <c r="C31" s="139" t="s">
        <v>10</v>
      </c>
      <c r="D31" s="139" t="s">
        <v>503</v>
      </c>
      <c r="E31" s="145" t="s">
        <v>465</v>
      </c>
      <c r="F31" s="133" t="s">
        <v>504</v>
      </c>
      <c r="G31" s="134" t="e">
        <f>(G36*G34*G35)/G37</f>
        <v>#N/A</v>
      </c>
      <c r="H31" s="139"/>
    </row>
    <row r="32" spans="1:8" ht="32.1">
      <c r="A32" s="139" t="s">
        <v>10</v>
      </c>
      <c r="B32" s="139"/>
      <c r="C32" s="139" t="s">
        <v>10</v>
      </c>
      <c r="D32" s="139" t="s">
        <v>503</v>
      </c>
      <c r="E32" s="145" t="s">
        <v>465</v>
      </c>
      <c r="F32" s="133" t="s">
        <v>483</v>
      </c>
      <c r="G32" s="134" t="e">
        <f>ABS(((G36*G34)-(G38/G39))*G35)/G37</f>
        <v>#N/A</v>
      </c>
      <c r="H32" s="139"/>
    </row>
    <row r="33" spans="1:8" ht="15.95">
      <c r="A33" s="140" t="s">
        <v>9</v>
      </c>
      <c r="B33" s="140"/>
      <c r="C33" s="140" t="s">
        <v>10</v>
      </c>
      <c r="D33" s="140" t="s">
        <v>510</v>
      </c>
      <c r="E33" s="140"/>
      <c r="F33" s="141" t="s">
        <v>511</v>
      </c>
      <c r="G33" s="152" t="s">
        <v>532</v>
      </c>
      <c r="H33" s="140"/>
    </row>
    <row r="34" spans="1:8" ht="32.1">
      <c r="A34" s="139" t="s">
        <v>10</v>
      </c>
      <c r="B34" s="139"/>
      <c r="C34" s="139" t="s">
        <v>10</v>
      </c>
      <c r="D34" s="139" t="s">
        <v>503</v>
      </c>
      <c r="E34" s="153" t="s">
        <v>513</v>
      </c>
      <c r="F34" s="133" t="s">
        <v>514</v>
      </c>
      <c r="G34" s="134" t="e">
        <f>IF(G33="","",VLOOKUP(G33,'[1]Tool 05.3 Default Values'!B4:D56,2,FALSE))</f>
        <v>#N/A</v>
      </c>
      <c r="H34" s="133" t="s">
        <v>515</v>
      </c>
    </row>
    <row r="35" spans="1:8" ht="32.1">
      <c r="A35" s="139" t="s">
        <v>10</v>
      </c>
      <c r="B35" s="139"/>
      <c r="C35" s="139" t="s">
        <v>10</v>
      </c>
      <c r="D35" s="139" t="s">
        <v>503</v>
      </c>
      <c r="E35" s="153" t="s">
        <v>516</v>
      </c>
      <c r="F35" s="133" t="s">
        <v>517</v>
      </c>
      <c r="G35" s="134" t="e">
        <f>IF(G33="","",VLOOKUP(G33,'[1]Tool 05.3 Default Values'!B4:D56,3,FALSE))*0.001</f>
        <v>#N/A</v>
      </c>
      <c r="H35" s="133" t="s">
        <v>518</v>
      </c>
    </row>
    <row r="36" spans="1:8" ht="32.1">
      <c r="A36" s="126" t="s">
        <v>9</v>
      </c>
      <c r="C36" s="126" t="s">
        <v>9</v>
      </c>
      <c r="D36" s="126" t="s">
        <v>111</v>
      </c>
      <c r="E36" s="154" t="s">
        <v>519</v>
      </c>
      <c r="F36" s="136" t="s">
        <v>520</v>
      </c>
      <c r="G36" s="137">
        <v>2</v>
      </c>
    </row>
    <row r="37" spans="1:8" ht="32.1">
      <c r="A37" s="126" t="s">
        <v>9</v>
      </c>
      <c r="C37" s="126" t="s">
        <v>9</v>
      </c>
      <c r="D37" s="126" t="s">
        <v>111</v>
      </c>
      <c r="E37" s="154" t="s">
        <v>521</v>
      </c>
      <c r="F37" s="136" t="s">
        <v>522</v>
      </c>
      <c r="G37" s="137">
        <v>10000</v>
      </c>
    </row>
    <row r="38" spans="1:8" ht="48">
      <c r="A38" s="126" t="s">
        <v>9</v>
      </c>
      <c r="C38" s="126" t="s">
        <v>9</v>
      </c>
      <c r="D38" s="126" t="s">
        <v>111</v>
      </c>
      <c r="E38" s="154" t="s">
        <v>523</v>
      </c>
      <c r="F38" s="136" t="s">
        <v>524</v>
      </c>
      <c r="G38" s="137">
        <v>2</v>
      </c>
    </row>
    <row r="39" spans="1:8" ht="35.1">
      <c r="A39" s="139" t="s">
        <v>10</v>
      </c>
      <c r="B39" s="139"/>
      <c r="C39" s="139" t="s">
        <v>10</v>
      </c>
      <c r="D39" s="139" t="s">
        <v>503</v>
      </c>
      <c r="E39" s="155" t="s">
        <v>525</v>
      </c>
      <c r="F39" s="133" t="s">
        <v>526</v>
      </c>
      <c r="G39" s="134">
        <v>1</v>
      </c>
      <c r="H39" s="139" t="s">
        <v>527</v>
      </c>
    </row>
    <row r="40" spans="1:8" ht="35.1">
      <c r="A40" s="139" t="s">
        <v>10</v>
      </c>
      <c r="B40" s="139"/>
      <c r="C40" s="139" t="s">
        <v>10</v>
      </c>
      <c r="D40" s="139" t="s">
        <v>503</v>
      </c>
      <c r="E40" s="155" t="s">
        <v>525</v>
      </c>
      <c r="F40" s="133" t="s">
        <v>528</v>
      </c>
      <c r="G40" s="134">
        <v>0.6</v>
      </c>
      <c r="H40" s="139" t="s">
        <v>527</v>
      </c>
    </row>
  </sheetData>
  <mergeCells count="4">
    <mergeCell ref="A2:H2"/>
    <mergeCell ref="A5:H5"/>
    <mergeCell ref="A17:H17"/>
    <mergeCell ref="A29:H29"/>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B8CEF-2CB5-984F-85E9-C388E2AAB61A}">
  <dimension ref="B1:D56"/>
  <sheetViews>
    <sheetView workbookViewId="0">
      <selection activeCell="G6" sqref="G6"/>
    </sheetView>
  </sheetViews>
  <sheetFormatPr defaultColWidth="8.85546875" defaultRowHeight="15"/>
  <cols>
    <col min="1" max="1" width="8.85546875" style="126"/>
    <col min="2" max="2" width="33.85546875" style="126" bestFit="1" customWidth="1"/>
    <col min="3" max="3" width="20.7109375" style="126" customWidth="1"/>
    <col min="4" max="4" width="40.42578125" style="126" customWidth="1"/>
    <col min="5" max="16384" width="8.85546875" style="126"/>
  </cols>
  <sheetData>
    <row r="1" spans="2:4" ht="15.95" thickBot="1"/>
    <row r="2" spans="2:4" ht="20.100000000000001" thickBot="1">
      <c r="B2" s="176" t="s">
        <v>533</v>
      </c>
      <c r="C2" s="177"/>
      <c r="D2" s="178"/>
    </row>
    <row r="3" spans="2:4" ht="35.1" thickBot="1">
      <c r="B3" s="156" t="s">
        <v>534</v>
      </c>
      <c r="C3" s="157" t="s">
        <v>535</v>
      </c>
      <c r="D3" s="157" t="s">
        <v>536</v>
      </c>
    </row>
    <row r="4" spans="2:4">
      <c r="B4" s="158" t="s">
        <v>512</v>
      </c>
      <c r="C4" s="159">
        <v>40.1</v>
      </c>
      <c r="D4" s="160">
        <v>75500</v>
      </c>
    </row>
    <row r="5" spans="2:4">
      <c r="B5" s="161" t="s">
        <v>537</v>
      </c>
      <c r="C5" s="162">
        <v>27.5</v>
      </c>
      <c r="D5" s="163">
        <v>85400</v>
      </c>
    </row>
    <row r="6" spans="2:4">
      <c r="B6" s="161" t="s">
        <v>538</v>
      </c>
      <c r="C6" s="162">
        <v>40.9</v>
      </c>
      <c r="D6" s="163">
        <v>70400</v>
      </c>
    </row>
    <row r="7" spans="2:4">
      <c r="B7" s="161" t="s">
        <v>539</v>
      </c>
      <c r="C7" s="162">
        <v>42.5</v>
      </c>
      <c r="D7" s="163">
        <v>73000</v>
      </c>
    </row>
    <row r="8" spans="2:4">
      <c r="B8" s="161" t="s">
        <v>540</v>
      </c>
      <c r="C8" s="162">
        <v>42.5</v>
      </c>
      <c r="D8" s="163">
        <v>73000</v>
      </c>
    </row>
    <row r="9" spans="2:4">
      <c r="B9" s="161" t="s">
        <v>541</v>
      </c>
      <c r="C9" s="162">
        <v>42.5</v>
      </c>
      <c r="D9" s="163">
        <v>73000</v>
      </c>
    </row>
    <row r="10" spans="2:4">
      <c r="B10" s="161" t="s">
        <v>542</v>
      </c>
      <c r="C10" s="162">
        <v>42</v>
      </c>
      <c r="D10" s="163">
        <v>74400</v>
      </c>
    </row>
    <row r="11" spans="2:4">
      <c r="B11" s="161" t="s">
        <v>543</v>
      </c>
      <c r="C11" s="162">
        <v>42.4</v>
      </c>
      <c r="D11" s="163">
        <v>73700</v>
      </c>
    </row>
    <row r="12" spans="2:4">
      <c r="B12" s="161" t="s">
        <v>544</v>
      </c>
      <c r="C12" s="162">
        <v>32.1</v>
      </c>
      <c r="D12" s="163">
        <v>79200</v>
      </c>
    </row>
    <row r="13" spans="2:4">
      <c r="B13" s="161" t="s">
        <v>530</v>
      </c>
      <c r="C13" s="162">
        <v>41.4</v>
      </c>
      <c r="D13" s="163">
        <v>74800</v>
      </c>
    </row>
    <row r="14" spans="2:4">
      <c r="B14" s="161" t="s">
        <v>545</v>
      </c>
      <c r="C14" s="162">
        <v>39.799999999999997</v>
      </c>
      <c r="D14" s="163">
        <v>78800</v>
      </c>
    </row>
    <row r="15" spans="2:4">
      <c r="B15" s="161" t="s">
        <v>546</v>
      </c>
      <c r="C15" s="162">
        <v>44.8</v>
      </c>
      <c r="D15" s="163">
        <v>65600</v>
      </c>
    </row>
    <row r="16" spans="2:4">
      <c r="B16" s="161" t="s">
        <v>547</v>
      </c>
      <c r="C16" s="162">
        <v>44.9</v>
      </c>
      <c r="D16" s="163">
        <v>68600</v>
      </c>
    </row>
    <row r="17" spans="2:4">
      <c r="B17" s="161" t="s">
        <v>548</v>
      </c>
      <c r="C17" s="162">
        <v>41.8</v>
      </c>
      <c r="D17" s="163">
        <v>76300</v>
      </c>
    </row>
    <row r="18" spans="2:4">
      <c r="B18" s="161" t="s">
        <v>549</v>
      </c>
      <c r="C18" s="162">
        <v>33.5</v>
      </c>
      <c r="D18" s="163">
        <v>89900</v>
      </c>
    </row>
    <row r="19" spans="2:4">
      <c r="B19" s="161" t="s">
        <v>550</v>
      </c>
      <c r="C19" s="162">
        <v>33.5</v>
      </c>
      <c r="D19" s="163">
        <v>75200</v>
      </c>
    </row>
    <row r="20" spans="2:4">
      <c r="B20" s="161" t="s">
        <v>551</v>
      </c>
      <c r="C20" s="162">
        <v>29.7</v>
      </c>
      <c r="D20" s="163">
        <v>115000</v>
      </c>
    </row>
    <row r="21" spans="2:4">
      <c r="B21" s="161" t="s">
        <v>552</v>
      </c>
      <c r="C21" s="162">
        <v>36.299999999999997</v>
      </c>
      <c r="D21" s="163">
        <v>76600</v>
      </c>
    </row>
    <row r="22" spans="2:4">
      <c r="B22" s="161" t="s">
        <v>553</v>
      </c>
      <c r="C22" s="162">
        <v>47.5</v>
      </c>
      <c r="D22" s="163">
        <v>69000</v>
      </c>
    </row>
    <row r="23" spans="2:4">
      <c r="B23" s="161" t="s">
        <v>554</v>
      </c>
      <c r="C23" s="162">
        <v>33.700000000000003</v>
      </c>
      <c r="D23" s="163">
        <v>74400</v>
      </c>
    </row>
    <row r="24" spans="2:4">
      <c r="B24" s="161" t="s">
        <v>555</v>
      </c>
      <c r="C24" s="162">
        <v>33.700000000000003</v>
      </c>
      <c r="D24" s="163">
        <v>74400</v>
      </c>
    </row>
    <row r="25" spans="2:4">
      <c r="B25" s="161" t="s">
        <v>556</v>
      </c>
      <c r="C25" s="162">
        <v>33.700000000000003</v>
      </c>
      <c r="D25" s="163">
        <v>74400</v>
      </c>
    </row>
    <row r="26" spans="2:4">
      <c r="B26" s="161" t="s">
        <v>557</v>
      </c>
      <c r="C26" s="162">
        <v>21.6</v>
      </c>
      <c r="D26" s="163">
        <v>101000</v>
      </c>
    </row>
    <row r="27" spans="2:4">
      <c r="B27" s="161" t="s">
        <v>558</v>
      </c>
      <c r="C27" s="162">
        <v>24</v>
      </c>
      <c r="D27" s="163">
        <v>101000</v>
      </c>
    </row>
    <row r="28" spans="2:4">
      <c r="B28" s="161" t="s">
        <v>559</v>
      </c>
      <c r="C28" s="162">
        <v>19.899999999999999</v>
      </c>
      <c r="D28" s="163">
        <v>99700</v>
      </c>
    </row>
    <row r="29" spans="2:4">
      <c r="B29" s="161" t="s">
        <v>560</v>
      </c>
      <c r="C29" s="162">
        <v>11.5</v>
      </c>
      <c r="D29" s="163">
        <v>100000</v>
      </c>
    </row>
    <row r="30" spans="2:4">
      <c r="B30" s="161" t="s">
        <v>561</v>
      </c>
      <c r="C30" s="162">
        <v>5.5</v>
      </c>
      <c r="D30" s="163">
        <v>115000</v>
      </c>
    </row>
    <row r="31" spans="2:4">
      <c r="B31" s="161" t="s">
        <v>562</v>
      </c>
      <c r="C31" s="162">
        <v>7.1</v>
      </c>
      <c r="D31" s="163">
        <v>125000</v>
      </c>
    </row>
    <row r="32" spans="2:4">
      <c r="B32" s="161" t="s">
        <v>563</v>
      </c>
      <c r="C32" s="162">
        <v>15.1</v>
      </c>
      <c r="D32" s="163">
        <v>109000</v>
      </c>
    </row>
    <row r="33" spans="2:4">
      <c r="B33" s="161" t="s">
        <v>564</v>
      </c>
      <c r="C33" s="162">
        <v>15.1</v>
      </c>
      <c r="D33" s="163">
        <v>109000</v>
      </c>
    </row>
    <row r="34" spans="2:4">
      <c r="B34" s="161" t="s">
        <v>565</v>
      </c>
      <c r="C34" s="162">
        <v>25.1</v>
      </c>
      <c r="D34" s="163">
        <v>119000</v>
      </c>
    </row>
    <row r="35" spans="2:4">
      <c r="B35" s="161" t="s">
        <v>566</v>
      </c>
      <c r="C35" s="162">
        <v>25.1</v>
      </c>
      <c r="D35" s="163">
        <v>119000</v>
      </c>
    </row>
    <row r="36" spans="2:4">
      <c r="B36" s="161" t="s">
        <v>567</v>
      </c>
      <c r="C36" s="162">
        <v>14.1</v>
      </c>
      <c r="D36" s="163">
        <v>95300</v>
      </c>
    </row>
    <row r="37" spans="2:4">
      <c r="B37" s="161" t="s">
        <v>568</v>
      </c>
      <c r="C37" s="162">
        <v>19.600000000000001</v>
      </c>
      <c r="D37" s="163">
        <v>54100</v>
      </c>
    </row>
    <row r="38" spans="2:4">
      <c r="B38" s="161" t="s">
        <v>569</v>
      </c>
      <c r="C38" s="162">
        <v>19.600000000000001</v>
      </c>
      <c r="D38" s="163">
        <v>54100</v>
      </c>
    </row>
    <row r="39" spans="2:4">
      <c r="B39" s="161" t="s">
        <v>570</v>
      </c>
      <c r="C39" s="162">
        <v>1.2</v>
      </c>
      <c r="D39" s="163">
        <v>308000</v>
      </c>
    </row>
    <row r="40" spans="2:4">
      <c r="B40" s="161" t="s">
        <v>571</v>
      </c>
      <c r="C40" s="162">
        <v>3.8</v>
      </c>
      <c r="D40" s="163">
        <v>202000</v>
      </c>
    </row>
    <row r="41" spans="2:4">
      <c r="B41" s="161" t="s">
        <v>532</v>
      </c>
      <c r="C41" s="162">
        <v>46.5</v>
      </c>
      <c r="D41" s="163">
        <v>58300</v>
      </c>
    </row>
    <row r="42" spans="2:4" ht="15.95">
      <c r="B42" s="164" t="s">
        <v>572</v>
      </c>
      <c r="C42" s="162">
        <v>7</v>
      </c>
      <c r="D42" s="163">
        <v>121000</v>
      </c>
    </row>
    <row r="43" spans="2:4">
      <c r="B43" s="161" t="s">
        <v>573</v>
      </c>
      <c r="C43" s="162">
        <v>20.3</v>
      </c>
      <c r="D43" s="163">
        <v>74400</v>
      </c>
    </row>
    <row r="44" spans="2:4">
      <c r="B44" s="161" t="s">
        <v>574</v>
      </c>
      <c r="C44" s="162">
        <v>7.8</v>
      </c>
      <c r="D44" s="163">
        <v>108000</v>
      </c>
    </row>
    <row r="45" spans="2:4">
      <c r="B45" s="161" t="s">
        <v>575</v>
      </c>
      <c r="C45" s="162">
        <v>7.9</v>
      </c>
      <c r="D45" s="163">
        <v>132000</v>
      </c>
    </row>
    <row r="46" spans="2:4">
      <c r="B46" s="161" t="s">
        <v>576</v>
      </c>
      <c r="C46" s="162">
        <v>5.9</v>
      </c>
      <c r="D46" s="163">
        <v>110000</v>
      </c>
    </row>
    <row r="47" spans="2:4">
      <c r="B47" s="161" t="s">
        <v>577</v>
      </c>
      <c r="C47" s="162">
        <v>5.9</v>
      </c>
      <c r="D47" s="163">
        <v>117000</v>
      </c>
    </row>
    <row r="48" spans="2:4">
      <c r="B48" s="161" t="s">
        <v>578</v>
      </c>
      <c r="C48" s="162">
        <v>14.9</v>
      </c>
      <c r="D48" s="163">
        <v>132000</v>
      </c>
    </row>
    <row r="49" spans="2:4">
      <c r="B49" s="161" t="s">
        <v>579</v>
      </c>
      <c r="C49" s="162">
        <v>13.6</v>
      </c>
      <c r="D49" s="163">
        <v>84300</v>
      </c>
    </row>
    <row r="50" spans="2:4">
      <c r="B50" s="161" t="s">
        <v>580</v>
      </c>
      <c r="C50" s="162">
        <v>13.6</v>
      </c>
      <c r="D50" s="163">
        <v>84300</v>
      </c>
    </row>
    <row r="51" spans="2:4">
      <c r="B51" s="161" t="s">
        <v>581</v>
      </c>
      <c r="C51" s="162">
        <v>13.8</v>
      </c>
      <c r="D51" s="163">
        <v>95300</v>
      </c>
    </row>
    <row r="52" spans="2:4">
      <c r="B52" s="161" t="s">
        <v>582</v>
      </c>
      <c r="C52" s="162">
        <v>25.4</v>
      </c>
      <c r="D52" s="163">
        <v>66000</v>
      </c>
    </row>
    <row r="53" spans="2:4">
      <c r="B53" s="161" t="s">
        <v>583</v>
      </c>
      <c r="C53" s="162">
        <v>25.4</v>
      </c>
      <c r="D53" s="163">
        <v>66000</v>
      </c>
    </row>
    <row r="54" spans="2:4">
      <c r="B54" s="161" t="s">
        <v>584</v>
      </c>
      <c r="C54" s="162">
        <v>25.4</v>
      </c>
      <c r="D54" s="163">
        <v>66000</v>
      </c>
    </row>
    <row r="55" spans="2:4">
      <c r="B55" s="161" t="s">
        <v>585</v>
      </c>
      <c r="C55" s="162">
        <v>6.8</v>
      </c>
      <c r="D55" s="163">
        <v>117000</v>
      </c>
    </row>
    <row r="56" spans="2:4" ht="15.95" thickBot="1">
      <c r="B56" s="165" t="s">
        <v>586</v>
      </c>
      <c r="C56" s="166" t="s">
        <v>12</v>
      </c>
      <c r="D56" s="167">
        <v>183000</v>
      </c>
    </row>
  </sheetData>
  <mergeCells count="1">
    <mergeCell ref="B2:D2"/>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87361-F953-994E-A425-E4B58E69CD33}">
  <dimension ref="A1:F69"/>
  <sheetViews>
    <sheetView workbookViewId="0">
      <pane xSplit="1" ySplit="1" topLeftCell="B2" activePane="bottomRight" state="frozen"/>
      <selection pane="bottomRight" activeCell="B2" sqref="B2"/>
      <selection pane="bottomLeft"/>
      <selection pane="topRight"/>
    </sheetView>
  </sheetViews>
  <sheetFormatPr defaultColWidth="8.85546875" defaultRowHeight="15"/>
  <cols>
    <col min="1" max="1" width="18.140625" bestFit="1" customWidth="1"/>
    <col min="2" max="2" width="18.140625" customWidth="1"/>
    <col min="3" max="3" width="16.140625" bestFit="1" customWidth="1"/>
    <col min="4" max="4" width="44.42578125" customWidth="1"/>
    <col min="5" max="5" width="29.28515625" bestFit="1" customWidth="1"/>
    <col min="6" max="6" width="81" customWidth="1"/>
  </cols>
  <sheetData>
    <row r="1" spans="1:6" ht="18.95">
      <c r="A1" s="24" t="s">
        <v>0</v>
      </c>
      <c r="B1" s="24" t="s">
        <v>3</v>
      </c>
      <c r="C1" s="24" t="s">
        <v>5</v>
      </c>
      <c r="D1" s="25" t="s">
        <v>6</v>
      </c>
      <c r="E1" s="25" t="s">
        <v>2</v>
      </c>
      <c r="F1" s="24" t="s">
        <v>7</v>
      </c>
    </row>
    <row r="2" spans="1:6" s="5" customFormat="1" ht="18.95">
      <c r="A2" s="26"/>
      <c r="B2" s="26"/>
      <c r="C2" s="27"/>
      <c r="D2" s="26" t="s">
        <v>587</v>
      </c>
      <c r="E2" s="27"/>
      <c r="F2" s="27"/>
    </row>
    <row r="3" spans="1:6" ht="113.25" customHeight="1">
      <c r="A3" t="s">
        <v>9</v>
      </c>
      <c r="B3" t="s">
        <v>83</v>
      </c>
      <c r="D3" s="6" t="s">
        <v>588</v>
      </c>
      <c r="E3" t="s">
        <v>10</v>
      </c>
      <c r="F3" s="6" t="s">
        <v>589</v>
      </c>
    </row>
    <row r="4" spans="1:6" s="5" customFormat="1" ht="18.95">
      <c r="A4" s="26"/>
      <c r="B4" s="26"/>
      <c r="C4" s="27"/>
      <c r="D4" s="26" t="s">
        <v>590</v>
      </c>
      <c r="E4" s="27"/>
      <c r="F4" s="27"/>
    </row>
    <row r="5" spans="1:6" s="8" customFormat="1" ht="15.95">
      <c r="A5" s="8" t="s">
        <v>10</v>
      </c>
      <c r="B5" s="8" t="s">
        <v>366</v>
      </c>
      <c r="C5" s="31" t="s">
        <v>591</v>
      </c>
      <c r="D5" s="8" t="s">
        <v>592</v>
      </c>
      <c r="E5" s="10" t="s">
        <v>10</v>
      </c>
      <c r="F5" s="10">
        <v>16.04</v>
      </c>
    </row>
    <row r="6" spans="1:6" s="8" customFormat="1">
      <c r="A6" s="8" t="s">
        <v>10</v>
      </c>
      <c r="B6" s="8" t="s">
        <v>366</v>
      </c>
      <c r="C6" s="8" t="s">
        <v>593</v>
      </c>
      <c r="D6" s="8" t="s">
        <v>594</v>
      </c>
      <c r="E6" s="10" t="s">
        <v>10</v>
      </c>
      <c r="F6" s="10">
        <v>28.01</v>
      </c>
    </row>
    <row r="7" spans="1:6" s="8" customFormat="1">
      <c r="A7" s="8" t="s">
        <v>10</v>
      </c>
      <c r="B7" s="8" t="s">
        <v>366</v>
      </c>
      <c r="C7" s="8" t="s">
        <v>595</v>
      </c>
      <c r="D7" s="8" t="s">
        <v>596</v>
      </c>
      <c r="E7" s="10" t="s">
        <v>10</v>
      </c>
      <c r="F7" s="10">
        <v>44.01</v>
      </c>
    </row>
    <row r="8" spans="1:6" s="8" customFormat="1">
      <c r="A8" s="8" t="s">
        <v>10</v>
      </c>
      <c r="B8" s="8" t="s">
        <v>366</v>
      </c>
      <c r="C8" s="8" t="s">
        <v>597</v>
      </c>
      <c r="D8" s="8" t="s">
        <v>598</v>
      </c>
      <c r="E8" s="10" t="s">
        <v>10</v>
      </c>
      <c r="F8" s="10">
        <v>32</v>
      </c>
    </row>
    <row r="9" spans="1:6" s="8" customFormat="1">
      <c r="A9" s="8" t="s">
        <v>10</v>
      </c>
      <c r="B9" s="8" t="s">
        <v>366</v>
      </c>
      <c r="C9" s="8" t="s">
        <v>599</v>
      </c>
      <c r="D9" s="8" t="s">
        <v>600</v>
      </c>
      <c r="E9" s="10" t="s">
        <v>10</v>
      </c>
      <c r="F9" s="10">
        <v>2.02</v>
      </c>
    </row>
    <row r="10" spans="1:6" s="8" customFormat="1">
      <c r="A10" s="8" t="s">
        <v>10</v>
      </c>
      <c r="B10" s="8" t="s">
        <v>366</v>
      </c>
      <c r="C10" s="8" t="s">
        <v>601</v>
      </c>
      <c r="D10" s="8" t="s">
        <v>602</v>
      </c>
      <c r="E10" s="10" t="s">
        <v>10</v>
      </c>
      <c r="F10" s="10">
        <v>28.02</v>
      </c>
    </row>
    <row r="11" spans="1:6" s="8" customFormat="1">
      <c r="A11" s="8" t="s">
        <v>10</v>
      </c>
      <c r="B11" s="8" t="s">
        <v>366</v>
      </c>
      <c r="C11" s="8" t="s">
        <v>603</v>
      </c>
      <c r="D11" s="8" t="s">
        <v>604</v>
      </c>
      <c r="E11" s="10" t="s">
        <v>10</v>
      </c>
      <c r="F11" s="10">
        <v>12</v>
      </c>
    </row>
    <row r="12" spans="1:6" s="8" customFormat="1">
      <c r="A12" s="8" t="s">
        <v>10</v>
      </c>
      <c r="B12" s="8" t="s">
        <v>366</v>
      </c>
      <c r="C12" s="8" t="s">
        <v>605</v>
      </c>
      <c r="D12" s="8" t="s">
        <v>606</v>
      </c>
      <c r="E12" s="10" t="s">
        <v>10</v>
      </c>
      <c r="F12" s="10">
        <v>1.01</v>
      </c>
    </row>
    <row r="13" spans="1:6" s="8" customFormat="1">
      <c r="A13" s="8" t="s">
        <v>10</v>
      </c>
      <c r="B13" s="8" t="s">
        <v>366</v>
      </c>
      <c r="C13" s="8" t="s">
        <v>607</v>
      </c>
      <c r="D13" s="8" t="s">
        <v>608</v>
      </c>
      <c r="E13" s="10" t="s">
        <v>10</v>
      </c>
      <c r="F13" s="10">
        <v>16</v>
      </c>
    </row>
    <row r="14" spans="1:6" s="8" customFormat="1">
      <c r="A14" s="8" t="s">
        <v>10</v>
      </c>
      <c r="B14" s="8" t="s">
        <v>366</v>
      </c>
      <c r="C14" s="8" t="s">
        <v>609</v>
      </c>
      <c r="D14" s="8" t="s">
        <v>610</v>
      </c>
      <c r="E14" s="10" t="s">
        <v>10</v>
      </c>
      <c r="F14" s="10">
        <v>14.01</v>
      </c>
    </row>
    <row r="15" spans="1:6" s="8" customFormat="1">
      <c r="A15" s="8" t="s">
        <v>10</v>
      </c>
      <c r="B15" s="8" t="s">
        <v>366</v>
      </c>
      <c r="C15" s="8" t="s">
        <v>611</v>
      </c>
      <c r="D15" s="8" t="s">
        <v>612</v>
      </c>
      <c r="E15" s="10" t="s">
        <v>10</v>
      </c>
      <c r="F15" s="10">
        <v>101325</v>
      </c>
    </row>
    <row r="16" spans="1:6" s="8" customFormat="1">
      <c r="A16" s="8" t="s">
        <v>10</v>
      </c>
      <c r="B16" s="8" t="s">
        <v>366</v>
      </c>
      <c r="C16" s="8" t="s">
        <v>613</v>
      </c>
      <c r="D16" s="8" t="s">
        <v>614</v>
      </c>
      <c r="E16" s="10" t="s">
        <v>10</v>
      </c>
      <c r="F16" s="10">
        <v>8314.4719999999998</v>
      </c>
    </row>
    <row r="17" spans="1:6" s="8" customFormat="1">
      <c r="A17" s="8" t="s">
        <v>10</v>
      </c>
      <c r="B17" s="8" t="s">
        <v>366</v>
      </c>
      <c r="C17" s="8" t="s">
        <v>615</v>
      </c>
      <c r="D17" s="8" t="s">
        <v>616</v>
      </c>
      <c r="E17" s="10" t="s">
        <v>10</v>
      </c>
      <c r="F17" s="10">
        <v>273.14999999999998</v>
      </c>
    </row>
    <row r="18" spans="1:6" s="8" customFormat="1">
      <c r="A18" s="8" t="s">
        <v>10</v>
      </c>
      <c r="B18" s="8" t="s">
        <v>366</v>
      </c>
      <c r="C18" s="8" t="s">
        <v>617</v>
      </c>
      <c r="D18" s="8" t="s">
        <v>618</v>
      </c>
      <c r="E18" s="10" t="s">
        <v>10</v>
      </c>
      <c r="F18" s="10">
        <v>0.21</v>
      </c>
    </row>
    <row r="19" spans="1:6" s="8" customFormat="1">
      <c r="A19" s="8" t="s">
        <v>10</v>
      </c>
      <c r="B19" s="8" t="s">
        <v>366</v>
      </c>
      <c r="C19" s="8" t="s">
        <v>619</v>
      </c>
      <c r="D19" s="8" t="s">
        <v>620</v>
      </c>
      <c r="E19" s="10" t="s">
        <v>10</v>
      </c>
      <c r="F19" s="10">
        <v>25</v>
      </c>
    </row>
    <row r="20" spans="1:6" s="8" customFormat="1" ht="32.1">
      <c r="A20" s="8" t="s">
        <v>10</v>
      </c>
      <c r="B20" s="8" t="s">
        <v>366</v>
      </c>
      <c r="C20" s="8" t="s">
        <v>621</v>
      </c>
      <c r="D20" s="9" t="s">
        <v>622</v>
      </c>
      <c r="E20" s="10" t="s">
        <v>10</v>
      </c>
      <c r="F20" s="10">
        <v>22.414000000000001</v>
      </c>
    </row>
    <row r="21" spans="1:6" s="8" customFormat="1">
      <c r="A21" s="8" t="s">
        <v>10</v>
      </c>
      <c r="B21" s="8" t="s">
        <v>366</v>
      </c>
      <c r="C21" s="8" t="s">
        <v>623</v>
      </c>
      <c r="D21" s="8" t="s">
        <v>624</v>
      </c>
      <c r="E21" s="10" t="s">
        <v>10</v>
      </c>
      <c r="F21" s="10">
        <v>0.71599999999999997</v>
      </c>
    </row>
    <row r="22" spans="1:6" s="8" customFormat="1" ht="32.1">
      <c r="A22" s="8" t="s">
        <v>10</v>
      </c>
      <c r="B22" s="8" t="s">
        <v>366</v>
      </c>
      <c r="C22" s="8" t="s">
        <v>625</v>
      </c>
      <c r="D22" s="9" t="s">
        <v>626</v>
      </c>
      <c r="E22" s="10" t="s">
        <v>10</v>
      </c>
      <c r="F22" s="10" t="s">
        <v>627</v>
      </c>
    </row>
    <row r="23" spans="1:6" s="8" customFormat="1" ht="15.95">
      <c r="A23" s="8" t="s">
        <v>10</v>
      </c>
      <c r="B23" s="8" t="s">
        <v>366</v>
      </c>
      <c r="C23" s="8" t="s">
        <v>628</v>
      </c>
      <c r="D23" s="9" t="s">
        <v>629</v>
      </c>
      <c r="E23" s="10" t="s">
        <v>10</v>
      </c>
      <c r="F23" s="10">
        <v>1</v>
      </c>
    </row>
    <row r="24" spans="1:6" s="8" customFormat="1">
      <c r="A24" s="8" t="s">
        <v>10</v>
      </c>
      <c r="B24" s="8" t="s">
        <v>366</v>
      </c>
      <c r="C24" s="8" t="s">
        <v>630</v>
      </c>
      <c r="D24" s="8" t="s">
        <v>631</v>
      </c>
      <c r="E24" s="10" t="s">
        <v>10</v>
      </c>
      <c r="F24" s="10">
        <v>1</v>
      </c>
    </row>
    <row r="25" spans="1:6" s="8" customFormat="1" ht="15.95">
      <c r="A25" s="8" t="s">
        <v>10</v>
      </c>
      <c r="B25" s="8" t="s">
        <v>366</v>
      </c>
      <c r="C25" s="8" t="s">
        <v>632</v>
      </c>
      <c r="D25" s="9" t="s">
        <v>633</v>
      </c>
      <c r="E25" s="10" t="s">
        <v>10</v>
      </c>
      <c r="F25" s="10">
        <v>1</v>
      </c>
    </row>
    <row r="26" spans="1:6" s="8" customFormat="1" ht="15.95">
      <c r="A26" s="8" t="s">
        <v>10</v>
      </c>
      <c r="B26" s="8" t="s">
        <v>366</v>
      </c>
      <c r="C26" s="8" t="s">
        <v>634</v>
      </c>
      <c r="D26" s="9" t="s">
        <v>635</v>
      </c>
      <c r="E26" s="10" t="s">
        <v>10</v>
      </c>
      <c r="F26" s="10">
        <v>4</v>
      </c>
    </row>
    <row r="27" spans="1:6" s="8" customFormat="1">
      <c r="A27" s="8" t="s">
        <v>10</v>
      </c>
      <c r="B27" s="8" t="s">
        <v>366</v>
      </c>
      <c r="C27" s="8" t="s">
        <v>636</v>
      </c>
      <c r="D27" s="8" t="s">
        <v>637</v>
      </c>
      <c r="E27" s="10" t="s">
        <v>10</v>
      </c>
      <c r="F27" s="10">
        <v>2</v>
      </c>
    </row>
    <row r="28" spans="1:6" s="8" customFormat="1">
      <c r="A28" s="8" t="s">
        <v>10</v>
      </c>
      <c r="B28" s="8" t="s">
        <v>366</v>
      </c>
      <c r="C28" s="8" t="s">
        <v>638</v>
      </c>
      <c r="D28" s="8" t="s">
        <v>639</v>
      </c>
      <c r="E28" s="10" t="s">
        <v>10</v>
      </c>
      <c r="F28" s="10">
        <v>1</v>
      </c>
    </row>
    <row r="29" spans="1:6" s="8" customFormat="1" ht="15.95">
      <c r="A29" s="8" t="s">
        <v>10</v>
      </c>
      <c r="B29" s="8" t="s">
        <v>366</v>
      </c>
      <c r="C29" s="8" t="s">
        <v>640</v>
      </c>
      <c r="D29" s="9" t="s">
        <v>641</v>
      </c>
      <c r="E29" s="10" t="s">
        <v>10</v>
      </c>
      <c r="F29" s="10">
        <v>2</v>
      </c>
    </row>
    <row r="30" spans="1:6" s="8" customFormat="1">
      <c r="A30" s="8" t="s">
        <v>10</v>
      </c>
      <c r="B30" s="8" t="s">
        <v>366</v>
      </c>
      <c r="C30" s="8" t="s">
        <v>642</v>
      </c>
      <c r="D30" s="8" t="s">
        <v>643</v>
      </c>
      <c r="E30" s="10" t="s">
        <v>10</v>
      </c>
      <c r="F30" s="10">
        <v>2</v>
      </c>
    </row>
    <row r="31" spans="1:6" s="8" customFormat="1">
      <c r="A31" s="8" t="s">
        <v>10</v>
      </c>
      <c r="B31" s="8" t="s">
        <v>366</v>
      </c>
      <c r="C31" s="8" t="s">
        <v>644</v>
      </c>
      <c r="D31" s="8" t="s">
        <v>645</v>
      </c>
      <c r="E31" s="10" t="s">
        <v>10</v>
      </c>
      <c r="F31" s="10">
        <v>2</v>
      </c>
    </row>
    <row r="32" spans="1:6" s="5" customFormat="1" ht="18.95">
      <c r="A32" s="26"/>
      <c r="B32" s="26"/>
      <c r="C32" s="27"/>
      <c r="D32" s="26" t="s">
        <v>646</v>
      </c>
      <c r="E32" s="27"/>
      <c r="F32" s="27"/>
    </row>
    <row r="33" spans="1:6">
      <c r="A33" t="s">
        <v>9</v>
      </c>
      <c r="B33" t="s">
        <v>111</v>
      </c>
      <c r="C33" t="s">
        <v>647</v>
      </c>
      <c r="D33" t="s">
        <v>648</v>
      </c>
      <c r="E33" s="7" t="s">
        <v>9</v>
      </c>
      <c r="F33" s="32">
        <v>0.55000000000000004</v>
      </c>
    </row>
    <row r="34" spans="1:6">
      <c r="A34" t="s">
        <v>9</v>
      </c>
      <c r="B34" t="s">
        <v>111</v>
      </c>
      <c r="C34" t="s">
        <v>649</v>
      </c>
      <c r="D34" t="s">
        <v>650</v>
      </c>
      <c r="E34" s="7" t="s">
        <v>9</v>
      </c>
      <c r="F34" s="32">
        <v>0</v>
      </c>
    </row>
    <row r="35" spans="1:6">
      <c r="A35" t="s">
        <v>9</v>
      </c>
      <c r="B35" t="s">
        <v>111</v>
      </c>
      <c r="C35" t="s">
        <v>651</v>
      </c>
      <c r="D35" t="s">
        <v>652</v>
      </c>
      <c r="E35" s="7" t="s">
        <v>9</v>
      </c>
      <c r="F35" s="32">
        <v>0.35</v>
      </c>
    </row>
    <row r="36" spans="1:6">
      <c r="A36" t="s">
        <v>9</v>
      </c>
      <c r="B36" t="s">
        <v>111</v>
      </c>
      <c r="C36" t="s">
        <v>653</v>
      </c>
      <c r="D36" t="s">
        <v>654</v>
      </c>
      <c r="E36" s="7" t="s">
        <v>9</v>
      </c>
      <c r="F36" s="32">
        <v>0.05</v>
      </c>
    </row>
    <row r="37" spans="1:6">
      <c r="A37" t="s">
        <v>9</v>
      </c>
      <c r="B37" t="s">
        <v>111</v>
      </c>
      <c r="C37" t="s">
        <v>655</v>
      </c>
      <c r="D37" t="s">
        <v>656</v>
      </c>
      <c r="E37" s="7" t="s">
        <v>9</v>
      </c>
      <c r="F37" s="32">
        <v>0.01</v>
      </c>
    </row>
    <row r="38" spans="1:6">
      <c r="A38" t="s">
        <v>9</v>
      </c>
      <c r="B38" t="s">
        <v>111</v>
      </c>
      <c r="C38" t="s">
        <v>657</v>
      </c>
      <c r="D38" t="s">
        <v>658</v>
      </c>
      <c r="E38" s="7" t="s">
        <v>9</v>
      </c>
      <c r="F38" s="32">
        <v>0.04</v>
      </c>
    </row>
    <row r="39" spans="1:6" ht="15.95">
      <c r="A39" t="s">
        <v>9</v>
      </c>
      <c r="B39" t="s">
        <v>111</v>
      </c>
      <c r="C39" t="s">
        <v>659</v>
      </c>
      <c r="D39" s="6" t="s">
        <v>660</v>
      </c>
      <c r="E39" s="7" t="s">
        <v>9</v>
      </c>
      <c r="F39" s="33">
        <v>1000</v>
      </c>
    </row>
    <row r="40" spans="1:6">
      <c r="A40" t="s">
        <v>9</v>
      </c>
      <c r="B40" t="s">
        <v>111</v>
      </c>
      <c r="C40" t="s">
        <v>661</v>
      </c>
      <c r="D40" t="s">
        <v>662</v>
      </c>
      <c r="E40" s="7" t="s">
        <v>9</v>
      </c>
      <c r="F40" s="32">
        <v>0.1</v>
      </c>
    </row>
    <row r="41" spans="1:6" ht="32.1">
      <c r="A41" t="s">
        <v>9</v>
      </c>
      <c r="B41" t="s">
        <v>111</v>
      </c>
      <c r="C41" t="s">
        <v>663</v>
      </c>
      <c r="D41" s="6" t="s">
        <v>664</v>
      </c>
      <c r="E41" s="7" t="s">
        <v>9</v>
      </c>
      <c r="F41" s="7">
        <v>1000</v>
      </c>
    </row>
    <row r="42" spans="1:6">
      <c r="A42" t="s">
        <v>9</v>
      </c>
      <c r="B42" t="s">
        <v>111</v>
      </c>
      <c r="C42" t="s">
        <v>665</v>
      </c>
      <c r="D42" t="s">
        <v>666</v>
      </c>
      <c r="E42" s="7" t="s">
        <v>9</v>
      </c>
      <c r="F42" s="34">
        <v>8760</v>
      </c>
    </row>
    <row r="43" spans="1:6" s="5" customFormat="1" ht="18.95">
      <c r="A43" s="26"/>
      <c r="B43" s="26"/>
      <c r="C43" s="27"/>
      <c r="D43" s="26" t="s">
        <v>667</v>
      </c>
      <c r="E43" s="27"/>
      <c r="F43" s="27"/>
    </row>
    <row r="44" spans="1:6" s="8" customFormat="1" ht="32.1">
      <c r="A44" s="8" t="s">
        <v>10</v>
      </c>
      <c r="B44" s="8" t="s">
        <v>366</v>
      </c>
      <c r="C44" s="8" t="s">
        <v>668</v>
      </c>
      <c r="D44" s="9" t="s">
        <v>669</v>
      </c>
      <c r="E44" s="8" t="s">
        <v>10</v>
      </c>
      <c r="F44" s="10">
        <f>F45*F46</f>
        <v>1203.109940767265</v>
      </c>
    </row>
    <row r="45" spans="1:6" s="8" customFormat="1" ht="32.1">
      <c r="A45" s="8" t="s">
        <v>10</v>
      </c>
      <c r="B45" s="8" t="s">
        <v>366</v>
      </c>
      <c r="C45" s="8" t="s">
        <v>670</v>
      </c>
      <c r="D45" s="9" t="s">
        <v>671</v>
      </c>
      <c r="E45" s="8" t="s">
        <v>10</v>
      </c>
      <c r="F45" s="10">
        <f>F47/(F16*F17)</f>
        <v>1.203109940767265</v>
      </c>
    </row>
    <row r="46" spans="1:6" s="8" customFormat="1" ht="33" customHeight="1">
      <c r="A46" s="8" t="s">
        <v>10</v>
      </c>
      <c r="B46" s="8" t="s">
        <v>366</v>
      </c>
      <c r="C46" s="8" t="s">
        <v>672</v>
      </c>
      <c r="D46" s="9" t="s">
        <v>673</v>
      </c>
      <c r="E46" s="8" t="s">
        <v>10</v>
      </c>
      <c r="F46" s="10">
        <v>1000</v>
      </c>
    </row>
    <row r="47" spans="1:6" s="8" customFormat="1" ht="15.95">
      <c r="A47" s="8" t="s">
        <v>10</v>
      </c>
      <c r="B47" s="8" t="s">
        <v>366</v>
      </c>
      <c r="C47" s="8" t="s">
        <v>674</v>
      </c>
      <c r="D47" s="9" t="s">
        <v>675</v>
      </c>
      <c r="E47" s="8" t="s">
        <v>10</v>
      </c>
      <c r="F47" s="10">
        <f>F15*F48</f>
        <v>2732380.6124999998</v>
      </c>
    </row>
    <row r="48" spans="1:6" s="8" customFormat="1" ht="32.1">
      <c r="A48" s="8" t="s">
        <v>10</v>
      </c>
      <c r="B48" s="8" t="s">
        <v>366</v>
      </c>
      <c r="C48" s="8" t="s">
        <v>676</v>
      </c>
      <c r="D48" s="9" t="s">
        <v>677</v>
      </c>
      <c r="E48" s="8" t="s">
        <v>10</v>
      </c>
      <c r="F48" s="10">
        <f>F5*F33+F6*F34+F7*F35+F8*F36+F9*F37+F10*F38</f>
        <v>26.966499999999996</v>
      </c>
    </row>
    <row r="49" spans="1:6" s="5" customFormat="1" ht="18.95">
      <c r="A49" s="26"/>
      <c r="B49" s="26"/>
      <c r="C49" s="27"/>
      <c r="D49" s="26" t="s">
        <v>678</v>
      </c>
      <c r="E49" s="27"/>
      <c r="F49" s="27"/>
    </row>
    <row r="50" spans="1:6" s="10" customFormat="1" ht="32.1">
      <c r="A50" s="10" t="s">
        <v>10</v>
      </c>
      <c r="B50" s="10" t="s">
        <v>366</v>
      </c>
      <c r="C50" s="10" t="s">
        <v>679</v>
      </c>
      <c r="D50" s="16" t="s">
        <v>680</v>
      </c>
      <c r="E50" s="10" t="s">
        <v>10</v>
      </c>
      <c r="F50" s="10">
        <f>F39*F33*F21</f>
        <v>393.8</v>
      </c>
    </row>
    <row r="51" spans="1:6" s="5" customFormat="1" ht="18.95">
      <c r="A51" s="26"/>
      <c r="B51" s="26"/>
      <c r="C51" s="27"/>
      <c r="D51" s="26" t="s">
        <v>681</v>
      </c>
      <c r="E51" s="27"/>
      <c r="F51" s="27"/>
    </row>
    <row r="52" spans="1:6" s="8" customFormat="1">
      <c r="A52" s="8" t="s">
        <v>10</v>
      </c>
      <c r="B52" s="8" t="s">
        <v>366</v>
      </c>
      <c r="C52" s="8" t="s">
        <v>682</v>
      </c>
      <c r="D52" s="8" t="s">
        <v>683</v>
      </c>
      <c r="E52" s="8" t="s">
        <v>10</v>
      </c>
      <c r="F52" s="10">
        <f>(1-(F54/F50))*100</f>
        <v>97.620272779259992</v>
      </c>
    </row>
    <row r="53" spans="1:6" s="5" customFormat="1" ht="18.95">
      <c r="A53" s="26"/>
      <c r="B53" s="26"/>
      <c r="C53" s="27"/>
      <c r="D53" s="26" t="s">
        <v>684</v>
      </c>
      <c r="E53" s="27"/>
      <c r="F53" s="27"/>
    </row>
    <row r="54" spans="1:6" s="8" customFormat="1" ht="32.1">
      <c r="A54" s="8" t="s">
        <v>10</v>
      </c>
      <c r="B54" s="8" t="s">
        <v>366</v>
      </c>
      <c r="C54" s="8" t="s">
        <v>685</v>
      </c>
      <c r="D54" s="35" t="s">
        <v>686</v>
      </c>
      <c r="E54" s="8" t="s">
        <v>10</v>
      </c>
      <c r="F54" s="10">
        <f>F56*F41/1000000</f>
        <v>9.3713657952741762</v>
      </c>
    </row>
    <row r="55" spans="1:6" s="5" customFormat="1" ht="18.95">
      <c r="A55" s="26"/>
      <c r="B55" s="26"/>
      <c r="C55" s="27"/>
      <c r="D55" s="26" t="s">
        <v>687</v>
      </c>
      <c r="E55" s="27"/>
      <c r="F55" s="27"/>
    </row>
    <row r="56" spans="1:6" s="8" customFormat="1" ht="34.5" customHeight="1">
      <c r="A56" s="8" t="s">
        <v>10</v>
      </c>
      <c r="B56" s="8" t="s">
        <v>366</v>
      </c>
      <c r="C56" s="8" t="s">
        <v>688</v>
      </c>
      <c r="D56" s="9" t="s">
        <v>689</v>
      </c>
      <c r="E56" s="8" t="s">
        <v>10</v>
      </c>
      <c r="F56" s="10">
        <f>F57*F44</f>
        <v>9371.365795274176</v>
      </c>
    </row>
    <row r="57" spans="1:6" s="8" customFormat="1" ht="47.25" customHeight="1">
      <c r="A57" s="8" t="s">
        <v>10</v>
      </c>
      <c r="B57" s="8" t="s">
        <v>366</v>
      </c>
      <c r="C57" s="36" t="s">
        <v>690</v>
      </c>
      <c r="D57" s="9" t="s">
        <v>691</v>
      </c>
      <c r="E57" s="8" t="s">
        <v>10</v>
      </c>
      <c r="F57" s="10">
        <f>F60+F59+F58</f>
        <v>7.7892846511580895</v>
      </c>
    </row>
    <row r="58" spans="1:6" s="8" customFormat="1" ht="48">
      <c r="A58" s="8" t="s">
        <v>10</v>
      </c>
      <c r="B58" s="8" t="s">
        <v>366</v>
      </c>
      <c r="C58" s="8" t="s">
        <v>692</v>
      </c>
      <c r="D58" s="9" t="s">
        <v>693</v>
      </c>
      <c r="E58" s="8" t="s">
        <v>10</v>
      </c>
      <c r="F58" s="10">
        <f>F61*F20</f>
        <v>0.77892846511580904</v>
      </c>
    </row>
    <row r="59" spans="1:6" s="8" customFormat="1" ht="46.5" customHeight="1">
      <c r="A59" s="8" t="s">
        <v>10</v>
      </c>
      <c r="B59" s="8" t="s">
        <v>366</v>
      </c>
      <c r="C59" s="8" t="s">
        <v>694</v>
      </c>
      <c r="D59" s="9" t="s">
        <v>695</v>
      </c>
      <c r="E59" s="8" t="s">
        <v>10</v>
      </c>
      <c r="F59" s="10">
        <f>F20*((F67/(2*F14)+((1-F18)/F18)*(F62+F61)))</f>
        <v>6.2622947023495508</v>
      </c>
    </row>
    <row r="60" spans="1:6" s="8" customFormat="1" ht="47.25" customHeight="1">
      <c r="A60" s="8" t="s">
        <v>10</v>
      </c>
      <c r="B60" s="8" t="s">
        <v>366</v>
      </c>
      <c r="C60" s="8" t="s">
        <v>696</v>
      </c>
      <c r="D60" s="9" t="s">
        <v>697</v>
      </c>
      <c r="E60" s="8" t="s">
        <v>10</v>
      </c>
      <c r="F60" s="10">
        <f>(F64/F11)*F20</f>
        <v>0.74806148369272996</v>
      </c>
    </row>
    <row r="61" spans="1:6" s="8" customFormat="1" ht="48">
      <c r="A61" s="8" t="s">
        <v>10</v>
      </c>
      <c r="B61" s="8" t="s">
        <v>366</v>
      </c>
      <c r="C61" s="8" t="s">
        <v>698</v>
      </c>
      <c r="D61" s="9" t="s">
        <v>699</v>
      </c>
      <c r="E61" s="8" t="s">
        <v>10</v>
      </c>
      <c r="F61" s="10">
        <f>(F40/(1-(F40/F18))*(F64/F11+F67/(2*F14)+((1-F18)/F18)*F62))</f>
        <v>3.4751872272499734E-2</v>
      </c>
    </row>
    <row r="62" spans="1:6" s="8" customFormat="1" ht="48">
      <c r="A62" s="8" t="s">
        <v>10</v>
      </c>
      <c r="B62" s="8" t="s">
        <v>366</v>
      </c>
      <c r="C62" s="8" t="s">
        <v>700</v>
      </c>
      <c r="D62" s="9" t="s">
        <v>701</v>
      </c>
      <c r="E62" s="8" t="s">
        <v>10</v>
      </c>
      <c r="F62" s="10">
        <f>((F64/F11)+(F65/(4*F12)-(F66)/(2*F13)))</f>
        <v>3.9122615096508641E-2</v>
      </c>
    </row>
    <row r="63" spans="1:6" s="5" customFormat="1" ht="18.95">
      <c r="A63" s="26"/>
      <c r="B63" s="26"/>
      <c r="D63" s="26" t="s">
        <v>702</v>
      </c>
      <c r="E63" s="27"/>
      <c r="F63" s="27"/>
    </row>
    <row r="64" spans="1:6" s="8" customFormat="1" ht="32.1">
      <c r="A64" s="8" t="s">
        <v>10</v>
      </c>
      <c r="B64" s="8" t="s">
        <v>366</v>
      </c>
      <c r="C64" s="36" t="s">
        <v>703</v>
      </c>
      <c r="D64" s="9" t="s">
        <v>704</v>
      </c>
      <c r="E64" s="8" t="s">
        <v>10</v>
      </c>
      <c r="F64" s="10">
        <f>((F33*F23+F34*F24+F35*F25)*F11)/F48</f>
        <v>0.40049691283629696</v>
      </c>
    </row>
    <row r="65" spans="1:6" s="8" customFormat="1" ht="32.1">
      <c r="A65" s="8" t="s">
        <v>10</v>
      </c>
      <c r="B65" s="8" t="s">
        <v>366</v>
      </c>
      <c r="C65" s="8" t="s">
        <v>705</v>
      </c>
      <c r="D65" s="9" t="s">
        <v>706</v>
      </c>
      <c r="E65" s="8" t="s">
        <v>10</v>
      </c>
      <c r="F65" s="10">
        <f>(F33*F26+F37*F27)*F12/F48</f>
        <v>8.314760907051344E-2</v>
      </c>
    </row>
    <row r="66" spans="1:6" s="8" customFormat="1" ht="32.1">
      <c r="A66" s="8" t="s">
        <v>10</v>
      </c>
      <c r="B66" s="8" t="s">
        <v>366</v>
      </c>
      <c r="C66" s="8" t="s">
        <v>707</v>
      </c>
      <c r="D66" s="9" t="s">
        <v>708</v>
      </c>
      <c r="E66" s="8" t="s">
        <v>10</v>
      </c>
      <c r="F66" s="10">
        <f>(F34*F28+F35*F29+F36*F30)*F13/F48</f>
        <v>0.47466300780598153</v>
      </c>
    </row>
    <row r="67" spans="1:6" s="8" customFormat="1" ht="32.1">
      <c r="A67" s="8" t="s">
        <v>10</v>
      </c>
      <c r="B67" s="8" t="s">
        <v>366</v>
      </c>
      <c r="C67" s="8" t="s">
        <v>709</v>
      </c>
      <c r="D67" s="9" t="s">
        <v>710</v>
      </c>
      <c r="E67" s="8" t="s">
        <v>10</v>
      </c>
      <c r="F67" s="10">
        <f>F38*F31*F14/F48</f>
        <v>4.1562679621011261E-2</v>
      </c>
    </row>
    <row r="68" spans="1:6" s="5" customFormat="1" ht="18.95">
      <c r="A68" s="26"/>
      <c r="B68" s="26"/>
      <c r="D68" s="26" t="s">
        <v>711</v>
      </c>
      <c r="E68" s="27"/>
      <c r="F68" s="27"/>
    </row>
    <row r="69" spans="1:6" s="8" customFormat="1" ht="32.1">
      <c r="A69" s="8" t="s">
        <v>10</v>
      </c>
      <c r="B69" s="8" t="s">
        <v>366</v>
      </c>
      <c r="C69" s="8" t="s">
        <v>712</v>
      </c>
      <c r="D69" s="9" t="s">
        <v>713</v>
      </c>
      <c r="E69" s="8" t="s">
        <v>10</v>
      </c>
      <c r="F69" s="10">
        <f>(F42*(1-F52/100)*F50)*F19/100</f>
        <v>20523.291091650441</v>
      </c>
    </row>
  </sheetData>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7BB15-2324-9349-86DE-51DCFDAE2E0B}">
  <dimension ref="A1:H83"/>
  <sheetViews>
    <sheetView workbookViewId="0">
      <pane ySplit="1" topLeftCell="A19" activePane="bottomLeft" state="frozen"/>
      <selection pane="bottomLeft" activeCell="A18" sqref="A18:H18"/>
    </sheetView>
  </sheetViews>
  <sheetFormatPr defaultColWidth="8.85546875" defaultRowHeight="15"/>
  <cols>
    <col min="1" max="1" width="11.28515625" customWidth="1"/>
    <col min="2" max="2" width="13.28515625" customWidth="1"/>
    <col min="3" max="3" width="11.140625" customWidth="1"/>
    <col min="4" max="4" width="10.28515625" customWidth="1"/>
    <col min="5" max="5" width="26.42578125" customWidth="1"/>
    <col min="6" max="6" width="59" customWidth="1"/>
    <col min="7" max="7" width="26" customWidth="1"/>
    <col min="8" max="8" width="81" customWidth="1"/>
  </cols>
  <sheetData>
    <row r="1" spans="1:8" ht="39.75" customHeight="1">
      <c r="A1" s="37" t="s">
        <v>0</v>
      </c>
      <c r="B1" s="37" t="s">
        <v>362</v>
      </c>
      <c r="C1" s="38" t="s">
        <v>363</v>
      </c>
      <c r="D1" s="37" t="s">
        <v>3</v>
      </c>
      <c r="E1" s="37" t="s">
        <v>5</v>
      </c>
      <c r="F1" s="25" t="s">
        <v>6</v>
      </c>
      <c r="G1" s="25" t="s">
        <v>7</v>
      </c>
      <c r="H1" s="38" t="s">
        <v>364</v>
      </c>
    </row>
    <row r="2" spans="1:8" s="7" customFormat="1" ht="39" customHeight="1">
      <c r="A2" s="169" t="s">
        <v>714</v>
      </c>
      <c r="B2" s="169"/>
      <c r="C2" s="169"/>
      <c r="D2" s="169"/>
      <c r="E2" s="169"/>
      <c r="F2" s="169"/>
      <c r="G2" s="169"/>
      <c r="H2" s="169"/>
    </row>
    <row r="3" spans="1:8" ht="47.25" customHeight="1">
      <c r="A3" s="56" t="s">
        <v>9</v>
      </c>
      <c r="B3" s="57"/>
      <c r="C3" s="56" t="s">
        <v>715</v>
      </c>
      <c r="D3" s="56" t="s">
        <v>716</v>
      </c>
      <c r="E3" s="67" t="s">
        <v>717</v>
      </c>
      <c r="F3" s="59" t="s">
        <v>718</v>
      </c>
      <c r="G3" s="68" t="s">
        <v>10</v>
      </c>
      <c r="H3" s="59" t="s">
        <v>719</v>
      </c>
    </row>
    <row r="4" spans="1:8" ht="47.25" customHeight="1">
      <c r="A4" s="61" t="s">
        <v>9</v>
      </c>
      <c r="B4" s="62"/>
      <c r="C4" s="61" t="s">
        <v>720</v>
      </c>
      <c r="D4" s="61" t="s">
        <v>721</v>
      </c>
      <c r="E4" s="63"/>
      <c r="F4" s="64" t="s">
        <v>722</v>
      </c>
      <c r="G4" s="65" t="s">
        <v>723</v>
      </c>
      <c r="H4" s="64" t="s">
        <v>724</v>
      </c>
    </row>
    <row r="5" spans="1:8" ht="30.75" customHeight="1">
      <c r="A5" s="179" t="s">
        <v>725</v>
      </c>
      <c r="B5" s="179"/>
      <c r="C5" s="179"/>
      <c r="D5" s="179"/>
      <c r="E5" s="179"/>
      <c r="F5" s="179"/>
      <c r="G5" s="179"/>
      <c r="H5" s="179"/>
    </row>
    <row r="6" spans="1:8" ht="39.950000000000003">
      <c r="A6" s="56" t="s">
        <v>9</v>
      </c>
      <c r="B6" s="57"/>
      <c r="C6" s="56" t="s">
        <v>715</v>
      </c>
      <c r="D6" s="56" t="s">
        <v>716</v>
      </c>
      <c r="E6" s="67" t="s">
        <v>726</v>
      </c>
      <c r="F6" s="59" t="s">
        <v>727</v>
      </c>
      <c r="G6" s="68" t="s">
        <v>9</v>
      </c>
      <c r="H6" s="59" t="s">
        <v>728</v>
      </c>
    </row>
    <row r="7" spans="1:8" ht="48">
      <c r="A7" s="61" t="s">
        <v>9</v>
      </c>
      <c r="B7" s="62"/>
      <c r="C7" s="61" t="s">
        <v>720</v>
      </c>
      <c r="D7" s="61" t="s">
        <v>721</v>
      </c>
      <c r="E7" s="63"/>
      <c r="F7" s="64" t="s">
        <v>722</v>
      </c>
      <c r="G7" s="64" t="s">
        <v>729</v>
      </c>
      <c r="H7" s="64" t="s">
        <v>724</v>
      </c>
    </row>
    <row r="8" spans="1:8" ht="63.95">
      <c r="A8" s="56" t="s">
        <v>9</v>
      </c>
      <c r="B8" s="57"/>
      <c r="C8" s="56" t="s">
        <v>715</v>
      </c>
      <c r="D8" s="56" t="s">
        <v>716</v>
      </c>
      <c r="E8" s="67" t="s">
        <v>730</v>
      </c>
      <c r="F8" s="59" t="s">
        <v>731</v>
      </c>
      <c r="G8" s="68" t="s">
        <v>10</v>
      </c>
      <c r="H8" s="69" t="s">
        <v>732</v>
      </c>
    </row>
    <row r="9" spans="1:8" ht="63.95">
      <c r="A9" s="61" t="s">
        <v>9</v>
      </c>
      <c r="B9" s="62"/>
      <c r="C9" s="61" t="s">
        <v>720</v>
      </c>
      <c r="D9" s="61" t="s">
        <v>721</v>
      </c>
      <c r="E9" s="63"/>
      <c r="F9" s="64" t="s">
        <v>722</v>
      </c>
      <c r="G9" s="64" t="s">
        <v>733</v>
      </c>
      <c r="H9" s="64" t="s">
        <v>724</v>
      </c>
    </row>
    <row r="10" spans="1:8" ht="39.950000000000003">
      <c r="A10" s="56" t="s">
        <v>9</v>
      </c>
      <c r="B10" s="57"/>
      <c r="C10" s="56" t="s">
        <v>715</v>
      </c>
      <c r="D10" s="56" t="s">
        <v>716</v>
      </c>
      <c r="E10" s="67" t="s">
        <v>734</v>
      </c>
      <c r="F10" s="59" t="s">
        <v>735</v>
      </c>
      <c r="G10" s="70" t="s">
        <v>10</v>
      </c>
      <c r="H10" s="69" t="s">
        <v>736</v>
      </c>
    </row>
    <row r="11" spans="1:8" ht="32.1">
      <c r="A11" s="61" t="s">
        <v>9</v>
      </c>
      <c r="B11" s="62"/>
      <c r="C11" s="61" t="s">
        <v>720</v>
      </c>
      <c r="D11" s="61" t="s">
        <v>721</v>
      </c>
      <c r="E11" s="63"/>
      <c r="F11" s="64" t="s">
        <v>722</v>
      </c>
      <c r="G11" s="64" t="s">
        <v>723</v>
      </c>
      <c r="H11" s="64" t="s">
        <v>737</v>
      </c>
    </row>
    <row r="12" spans="1:8" ht="39.950000000000003">
      <c r="A12" s="56" t="s">
        <v>9</v>
      </c>
      <c r="B12" s="57"/>
      <c r="C12" s="56" t="s">
        <v>715</v>
      </c>
      <c r="D12" s="56" t="s">
        <v>716</v>
      </c>
      <c r="E12" s="67" t="s">
        <v>738</v>
      </c>
      <c r="F12" s="59" t="s">
        <v>739</v>
      </c>
      <c r="G12" s="70" t="s">
        <v>9</v>
      </c>
      <c r="H12" s="59" t="s">
        <v>740</v>
      </c>
    </row>
    <row r="13" spans="1:8" ht="63.95">
      <c r="A13" s="61" t="s">
        <v>9</v>
      </c>
      <c r="B13" s="62"/>
      <c r="C13" s="61" t="s">
        <v>720</v>
      </c>
      <c r="D13" s="61" t="s">
        <v>721</v>
      </c>
      <c r="E13" s="63"/>
      <c r="F13" s="64" t="s">
        <v>722</v>
      </c>
      <c r="G13" s="64" t="s">
        <v>741</v>
      </c>
      <c r="H13" s="64" t="s">
        <v>724</v>
      </c>
    </row>
    <row r="14" spans="1:8" ht="39.950000000000003">
      <c r="A14" s="56" t="s">
        <v>9</v>
      </c>
      <c r="B14" s="57"/>
      <c r="C14" s="56" t="s">
        <v>715</v>
      </c>
      <c r="D14" s="56" t="s">
        <v>716</v>
      </c>
      <c r="E14" s="67" t="s">
        <v>742</v>
      </c>
      <c r="F14" s="59" t="s">
        <v>743</v>
      </c>
      <c r="G14" s="70" t="s">
        <v>9</v>
      </c>
      <c r="H14" s="59" t="s">
        <v>744</v>
      </c>
    </row>
    <row r="15" spans="1:8" ht="63.95">
      <c r="A15" s="61" t="s">
        <v>9</v>
      </c>
      <c r="B15" s="62"/>
      <c r="C15" s="61" t="s">
        <v>720</v>
      </c>
      <c r="D15" s="61" t="s">
        <v>721</v>
      </c>
      <c r="E15" s="63"/>
      <c r="F15" s="64" t="s">
        <v>722</v>
      </c>
      <c r="G15" s="64" t="s">
        <v>745</v>
      </c>
      <c r="H15" s="64" t="s">
        <v>724</v>
      </c>
    </row>
    <row r="16" spans="1:8" ht="39.950000000000003">
      <c r="A16" s="56" t="s">
        <v>9</v>
      </c>
      <c r="B16" s="57"/>
      <c r="C16" s="56" t="s">
        <v>715</v>
      </c>
      <c r="D16" s="56" t="s">
        <v>716</v>
      </c>
      <c r="E16" s="67" t="s">
        <v>746</v>
      </c>
      <c r="F16" s="59" t="s">
        <v>747</v>
      </c>
      <c r="G16" s="59" t="s">
        <v>9</v>
      </c>
      <c r="H16" s="59" t="s">
        <v>748</v>
      </c>
    </row>
    <row r="17" spans="1:8" ht="99" customHeight="1">
      <c r="A17" s="56" t="s">
        <v>9</v>
      </c>
      <c r="B17" s="57"/>
      <c r="C17" s="56" t="s">
        <v>720</v>
      </c>
      <c r="D17" s="56" t="s">
        <v>716</v>
      </c>
      <c r="E17" s="58" t="s">
        <v>749</v>
      </c>
      <c r="F17" s="59" t="s">
        <v>750</v>
      </c>
      <c r="G17" s="59" t="s">
        <v>9</v>
      </c>
      <c r="H17" s="59" t="s">
        <v>751</v>
      </c>
    </row>
    <row r="18" spans="1:8" ht="18.95">
      <c r="A18" s="61" t="s">
        <v>9</v>
      </c>
      <c r="B18" s="62"/>
      <c r="C18" s="61" t="s">
        <v>720</v>
      </c>
      <c r="D18" s="61" t="s">
        <v>721</v>
      </c>
      <c r="E18" s="63"/>
      <c r="F18" s="64" t="s">
        <v>722</v>
      </c>
      <c r="G18" s="65" t="s">
        <v>723</v>
      </c>
      <c r="H18" s="64" t="s">
        <v>724</v>
      </c>
    </row>
    <row r="19" spans="1:8" ht="48">
      <c r="A19" s="56" t="s">
        <v>9</v>
      </c>
      <c r="B19" s="57"/>
      <c r="C19" s="56" t="s">
        <v>715</v>
      </c>
      <c r="D19" s="56" t="s">
        <v>716</v>
      </c>
      <c r="E19" s="58" t="s">
        <v>752</v>
      </c>
      <c r="F19" s="59" t="s">
        <v>753</v>
      </c>
      <c r="G19" s="70" t="s">
        <v>9</v>
      </c>
      <c r="H19" s="59" t="s">
        <v>754</v>
      </c>
    </row>
    <row r="20" spans="1:8" ht="18.95">
      <c r="A20" s="61" t="s">
        <v>9</v>
      </c>
      <c r="B20" s="62"/>
      <c r="C20" s="61" t="s">
        <v>720</v>
      </c>
      <c r="D20" s="61" t="s">
        <v>721</v>
      </c>
      <c r="E20" s="63"/>
      <c r="F20" s="64" t="s">
        <v>722</v>
      </c>
      <c r="G20" s="65" t="s">
        <v>723</v>
      </c>
      <c r="H20" s="64" t="s">
        <v>724</v>
      </c>
    </row>
    <row r="21" spans="1:8" ht="70.5" customHeight="1">
      <c r="A21" s="56" t="s">
        <v>9</v>
      </c>
      <c r="B21" s="57"/>
      <c r="C21" s="56" t="s">
        <v>715</v>
      </c>
      <c r="D21" s="56" t="s">
        <v>716</v>
      </c>
      <c r="E21" s="67" t="s">
        <v>755</v>
      </c>
      <c r="F21" s="59" t="s">
        <v>747</v>
      </c>
      <c r="G21" s="59" t="s">
        <v>9</v>
      </c>
      <c r="H21" s="59" t="s">
        <v>756</v>
      </c>
    </row>
    <row r="22" spans="1:8" ht="18.95">
      <c r="A22" s="61" t="s">
        <v>9</v>
      </c>
      <c r="B22" s="62"/>
      <c r="C22" s="61" t="s">
        <v>720</v>
      </c>
      <c r="D22" s="61" t="s">
        <v>721</v>
      </c>
      <c r="E22" s="63"/>
      <c r="F22" s="64" t="s">
        <v>722</v>
      </c>
      <c r="G22" s="65" t="s">
        <v>723</v>
      </c>
      <c r="H22" s="64" t="s">
        <v>724</v>
      </c>
    </row>
    <row r="23" spans="1:8" ht="47.25" customHeight="1">
      <c r="A23" s="56" t="s">
        <v>9</v>
      </c>
      <c r="B23" s="57"/>
      <c r="C23" s="56" t="s">
        <v>715</v>
      </c>
      <c r="D23" s="56" t="s">
        <v>716</v>
      </c>
      <c r="E23" s="67" t="s">
        <v>757</v>
      </c>
      <c r="F23" s="59" t="s">
        <v>758</v>
      </c>
      <c r="G23" s="70" t="s">
        <v>9</v>
      </c>
      <c r="H23" s="59" t="s">
        <v>759</v>
      </c>
    </row>
    <row r="24" spans="1:8" ht="18.95">
      <c r="A24" s="61" t="s">
        <v>9</v>
      </c>
      <c r="B24" s="62"/>
      <c r="C24" s="61" t="s">
        <v>720</v>
      </c>
      <c r="D24" s="61" t="s">
        <v>721</v>
      </c>
      <c r="E24" s="63"/>
      <c r="F24" s="64" t="s">
        <v>722</v>
      </c>
      <c r="G24" s="65" t="s">
        <v>723</v>
      </c>
      <c r="H24" s="64" t="s">
        <v>724</v>
      </c>
    </row>
    <row r="25" spans="1:8" ht="47.25" customHeight="1">
      <c r="A25" s="56" t="s">
        <v>9</v>
      </c>
      <c r="B25" s="57"/>
      <c r="C25" s="56" t="s">
        <v>715</v>
      </c>
      <c r="D25" s="56" t="s">
        <v>716</v>
      </c>
      <c r="E25" s="67" t="s">
        <v>760</v>
      </c>
      <c r="F25" s="59" t="s">
        <v>761</v>
      </c>
      <c r="G25" s="70" t="s">
        <v>10</v>
      </c>
      <c r="H25" s="59" t="s">
        <v>762</v>
      </c>
    </row>
    <row r="26" spans="1:8" ht="18.95">
      <c r="A26" s="61" t="s">
        <v>9</v>
      </c>
      <c r="B26" s="62"/>
      <c r="C26" s="61" t="s">
        <v>720</v>
      </c>
      <c r="D26" s="61" t="s">
        <v>721</v>
      </c>
      <c r="E26" s="63"/>
      <c r="F26" s="64" t="s">
        <v>722</v>
      </c>
      <c r="G26" s="65" t="s">
        <v>723</v>
      </c>
      <c r="H26" s="64" t="s">
        <v>724</v>
      </c>
    </row>
    <row r="27" spans="1:8" ht="33" customHeight="1">
      <c r="A27" s="179" t="s">
        <v>763</v>
      </c>
      <c r="B27" s="179"/>
      <c r="C27" s="179"/>
      <c r="D27" s="179"/>
      <c r="E27" s="179"/>
      <c r="F27" s="179"/>
      <c r="G27" s="179"/>
      <c r="H27" s="179"/>
    </row>
    <row r="28" spans="1:8" ht="74.25" customHeight="1">
      <c r="A28" s="62"/>
      <c r="B28" s="62"/>
      <c r="C28" s="30"/>
      <c r="D28" s="62"/>
      <c r="E28" s="71"/>
      <c r="F28" s="64"/>
      <c r="G28" s="7"/>
    </row>
    <row r="62" spans="1:8" ht="92.25" customHeight="1"/>
    <row r="63" spans="1:8" ht="33" customHeight="1">
      <c r="A63" s="179" t="s">
        <v>764</v>
      </c>
      <c r="B63" s="179"/>
      <c r="C63" s="179"/>
      <c r="D63" s="179"/>
      <c r="E63" s="179"/>
      <c r="F63" s="179"/>
      <c r="G63" s="179"/>
      <c r="H63" s="179"/>
    </row>
    <row r="64" spans="1:8" ht="39.950000000000003">
      <c r="A64" s="56" t="s">
        <v>9</v>
      </c>
      <c r="B64" s="57"/>
      <c r="C64" s="56" t="s">
        <v>715</v>
      </c>
      <c r="D64" s="56" t="s">
        <v>716</v>
      </c>
      <c r="E64" s="67" t="s">
        <v>726</v>
      </c>
      <c r="F64" s="59" t="s">
        <v>727</v>
      </c>
      <c r="G64" s="68" t="s">
        <v>9</v>
      </c>
      <c r="H64" s="59" t="s">
        <v>765</v>
      </c>
    </row>
    <row r="65" spans="1:8" ht="48">
      <c r="A65" s="61" t="s">
        <v>9</v>
      </c>
      <c r="B65" s="62"/>
      <c r="C65" s="61" t="s">
        <v>720</v>
      </c>
      <c r="D65" s="61" t="s">
        <v>721</v>
      </c>
      <c r="E65" s="63"/>
      <c r="F65" s="64" t="s">
        <v>722</v>
      </c>
      <c r="G65" s="64" t="s">
        <v>729</v>
      </c>
      <c r="H65" s="64" t="s">
        <v>724</v>
      </c>
    </row>
    <row r="66" spans="1:8" ht="63.95">
      <c r="A66" s="56" t="s">
        <v>9</v>
      </c>
      <c r="B66" s="57"/>
      <c r="C66" s="56" t="s">
        <v>715</v>
      </c>
      <c r="D66" s="56" t="s">
        <v>716</v>
      </c>
      <c r="E66" s="67" t="s">
        <v>730</v>
      </c>
      <c r="F66" s="59" t="s">
        <v>731</v>
      </c>
      <c r="G66" s="68" t="s">
        <v>10</v>
      </c>
      <c r="H66" s="69" t="s">
        <v>732</v>
      </c>
    </row>
    <row r="67" spans="1:8" ht="63.95">
      <c r="A67" s="61" t="s">
        <v>9</v>
      </c>
      <c r="B67" s="62"/>
      <c r="C67" s="61" t="s">
        <v>720</v>
      </c>
      <c r="D67" s="61" t="s">
        <v>721</v>
      </c>
      <c r="E67" s="63"/>
      <c r="F67" s="64" t="s">
        <v>722</v>
      </c>
      <c r="G67" s="64" t="s">
        <v>733</v>
      </c>
      <c r="H67" s="64" t="s">
        <v>724</v>
      </c>
    </row>
    <row r="68" spans="1:8" ht="39.950000000000003">
      <c r="A68" s="56" t="s">
        <v>9</v>
      </c>
      <c r="B68" s="57"/>
      <c r="C68" s="56" t="s">
        <v>715</v>
      </c>
      <c r="D68" s="56" t="s">
        <v>716</v>
      </c>
      <c r="E68" s="67" t="s">
        <v>734</v>
      </c>
      <c r="F68" s="59" t="s">
        <v>735</v>
      </c>
      <c r="G68" s="70" t="s">
        <v>10</v>
      </c>
      <c r="H68" s="69" t="s">
        <v>736</v>
      </c>
    </row>
    <row r="69" spans="1:8" ht="32.1">
      <c r="A69" s="61" t="s">
        <v>9</v>
      </c>
      <c r="B69" s="62"/>
      <c r="C69" s="61" t="s">
        <v>720</v>
      </c>
      <c r="D69" s="61" t="s">
        <v>721</v>
      </c>
      <c r="E69" s="63"/>
      <c r="F69" s="64" t="s">
        <v>722</v>
      </c>
      <c r="G69" s="64" t="s">
        <v>723</v>
      </c>
      <c r="H69" s="64" t="s">
        <v>737</v>
      </c>
    </row>
    <row r="70" spans="1:8" ht="39.950000000000003">
      <c r="A70" s="56" t="s">
        <v>9</v>
      </c>
      <c r="B70" s="57"/>
      <c r="C70" s="56" t="s">
        <v>715</v>
      </c>
      <c r="D70" s="56" t="s">
        <v>716</v>
      </c>
      <c r="E70" s="67" t="s">
        <v>738</v>
      </c>
      <c r="F70" s="59" t="s">
        <v>739</v>
      </c>
      <c r="G70" s="70" t="s">
        <v>9</v>
      </c>
      <c r="H70" s="59" t="s">
        <v>740</v>
      </c>
    </row>
    <row r="71" spans="1:8" ht="63.95">
      <c r="A71" s="61" t="s">
        <v>9</v>
      </c>
      <c r="B71" s="62"/>
      <c r="C71" s="61" t="s">
        <v>720</v>
      </c>
      <c r="D71" s="61" t="s">
        <v>721</v>
      </c>
      <c r="E71" s="63"/>
      <c r="F71" s="64" t="s">
        <v>722</v>
      </c>
      <c r="G71" s="64" t="s">
        <v>741</v>
      </c>
      <c r="H71" s="64" t="s">
        <v>724</v>
      </c>
    </row>
    <row r="72" spans="1:8" ht="39.950000000000003">
      <c r="A72" s="56" t="s">
        <v>9</v>
      </c>
      <c r="B72" s="57"/>
      <c r="C72" s="56" t="s">
        <v>715</v>
      </c>
      <c r="D72" s="56" t="s">
        <v>716</v>
      </c>
      <c r="E72" s="67" t="s">
        <v>742</v>
      </c>
      <c r="F72" s="59" t="s">
        <v>743</v>
      </c>
      <c r="G72" s="70" t="s">
        <v>9</v>
      </c>
      <c r="H72" s="59" t="s">
        <v>766</v>
      </c>
    </row>
    <row r="73" spans="1:8" ht="63.95">
      <c r="A73" s="61" t="s">
        <v>9</v>
      </c>
      <c r="B73" s="62"/>
      <c r="C73" s="61" t="s">
        <v>720</v>
      </c>
      <c r="D73" s="61" t="s">
        <v>721</v>
      </c>
      <c r="E73" s="63"/>
      <c r="F73" s="64" t="s">
        <v>722</v>
      </c>
      <c r="G73" s="64" t="s">
        <v>745</v>
      </c>
      <c r="H73" s="64" t="s">
        <v>724</v>
      </c>
    </row>
    <row r="74" spans="1:8" ht="39.950000000000003">
      <c r="A74" s="56" t="s">
        <v>9</v>
      </c>
      <c r="B74" s="57"/>
      <c r="C74" s="56" t="s">
        <v>715</v>
      </c>
      <c r="D74" s="56" t="s">
        <v>716</v>
      </c>
      <c r="E74" s="67" t="s">
        <v>746</v>
      </c>
      <c r="F74" s="59" t="s">
        <v>747</v>
      </c>
      <c r="G74" s="59" t="s">
        <v>9</v>
      </c>
      <c r="H74" s="59" t="s">
        <v>767</v>
      </c>
    </row>
    <row r="75" spans="1:8" ht="99" customHeight="1">
      <c r="A75" s="56" t="s">
        <v>9</v>
      </c>
      <c r="B75" s="57"/>
      <c r="C75" s="56" t="s">
        <v>715</v>
      </c>
      <c r="D75" s="56" t="s">
        <v>716</v>
      </c>
      <c r="E75" s="58" t="s">
        <v>768</v>
      </c>
      <c r="F75" s="59" t="s">
        <v>750</v>
      </c>
      <c r="G75" s="59" t="s">
        <v>9</v>
      </c>
      <c r="H75" s="59" t="s">
        <v>769</v>
      </c>
    </row>
    <row r="76" spans="1:8" ht="18.95">
      <c r="A76" s="61" t="s">
        <v>9</v>
      </c>
      <c r="B76" s="62"/>
      <c r="C76" s="61" t="s">
        <v>720</v>
      </c>
      <c r="D76" s="61" t="s">
        <v>721</v>
      </c>
      <c r="E76" s="63"/>
      <c r="F76" s="64" t="s">
        <v>722</v>
      </c>
      <c r="G76" s="65" t="s">
        <v>723</v>
      </c>
      <c r="H76" s="64" t="s">
        <v>724</v>
      </c>
    </row>
    <row r="77" spans="1:8" ht="48">
      <c r="A77" s="56" t="s">
        <v>9</v>
      </c>
      <c r="B77" s="57"/>
      <c r="C77" s="56" t="s">
        <v>715</v>
      </c>
      <c r="D77" s="56" t="s">
        <v>716</v>
      </c>
      <c r="E77" s="58" t="s">
        <v>770</v>
      </c>
      <c r="F77" s="59" t="s">
        <v>753</v>
      </c>
      <c r="G77" s="70" t="s">
        <v>9</v>
      </c>
      <c r="H77" s="59" t="s">
        <v>771</v>
      </c>
    </row>
    <row r="78" spans="1:8" ht="18.95">
      <c r="A78" s="61" t="s">
        <v>9</v>
      </c>
      <c r="B78" s="62"/>
      <c r="C78" s="61" t="s">
        <v>720</v>
      </c>
      <c r="D78" s="61" t="s">
        <v>721</v>
      </c>
      <c r="E78" s="63"/>
      <c r="F78" s="64" t="s">
        <v>722</v>
      </c>
      <c r="G78" s="65" t="s">
        <v>723</v>
      </c>
      <c r="H78" s="64" t="s">
        <v>724</v>
      </c>
    </row>
    <row r="79" spans="1:8" ht="70.5" customHeight="1">
      <c r="A79" s="56" t="s">
        <v>9</v>
      </c>
      <c r="B79" s="57"/>
      <c r="C79" s="56" t="s">
        <v>715</v>
      </c>
      <c r="D79" s="56" t="s">
        <v>716</v>
      </c>
      <c r="E79" s="67" t="s">
        <v>755</v>
      </c>
      <c r="F79" s="59" t="s">
        <v>747</v>
      </c>
      <c r="G79" s="59" t="s">
        <v>9</v>
      </c>
      <c r="H79" s="59" t="s">
        <v>772</v>
      </c>
    </row>
    <row r="80" spans="1:8" ht="18.95">
      <c r="A80" s="61" t="s">
        <v>9</v>
      </c>
      <c r="B80" s="62"/>
      <c r="C80" s="61" t="s">
        <v>720</v>
      </c>
      <c r="D80" s="61" t="s">
        <v>721</v>
      </c>
      <c r="E80" s="63"/>
      <c r="F80" s="64" t="s">
        <v>722</v>
      </c>
      <c r="G80" s="65" t="s">
        <v>723</v>
      </c>
      <c r="H80" s="64" t="s">
        <v>724</v>
      </c>
    </row>
    <row r="81" spans="1:8" ht="47.25" customHeight="1">
      <c r="A81" s="56" t="s">
        <v>9</v>
      </c>
      <c r="B81" s="57"/>
      <c r="C81" s="56" t="s">
        <v>715</v>
      </c>
      <c r="D81" s="56" t="s">
        <v>716</v>
      </c>
      <c r="E81" s="67" t="s">
        <v>773</v>
      </c>
      <c r="F81" s="59" t="s">
        <v>758</v>
      </c>
      <c r="G81" s="70" t="s">
        <v>9</v>
      </c>
      <c r="H81" s="59" t="s">
        <v>774</v>
      </c>
    </row>
    <row r="82" spans="1:8" ht="18.95">
      <c r="A82" s="61" t="s">
        <v>9</v>
      </c>
      <c r="B82" s="62"/>
      <c r="C82" s="61" t="s">
        <v>720</v>
      </c>
      <c r="D82" s="61" t="s">
        <v>721</v>
      </c>
      <c r="E82" s="63"/>
      <c r="F82" s="64" t="s">
        <v>722</v>
      </c>
      <c r="G82" s="65" t="s">
        <v>723</v>
      </c>
      <c r="H82" s="64" t="s">
        <v>724</v>
      </c>
    </row>
    <row r="83" spans="1:8" ht="33" customHeight="1">
      <c r="A83" s="179" t="s">
        <v>775</v>
      </c>
      <c r="B83" s="179"/>
      <c r="C83" s="179"/>
      <c r="D83" s="179"/>
      <c r="E83" s="179"/>
      <c r="F83" s="179"/>
      <c r="G83" s="179"/>
      <c r="H83" s="179"/>
    </row>
  </sheetData>
  <mergeCells count="5">
    <mergeCell ref="A2:H2"/>
    <mergeCell ref="A5:H5"/>
    <mergeCell ref="A27:H27"/>
    <mergeCell ref="A63:H63"/>
    <mergeCell ref="A83:H83"/>
  </mergeCell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B2B14-2F0D-354F-9C68-18715AA91B82}">
  <dimension ref="A1:I87"/>
  <sheetViews>
    <sheetView workbookViewId="0">
      <pane xSplit="1" ySplit="2" topLeftCell="B80" activePane="bottomRight" state="frozen"/>
      <selection pane="bottomRight" activeCell="B3" sqref="B3"/>
      <selection pane="bottomLeft" activeCell="A19" sqref="A19"/>
      <selection pane="topRight" activeCell="B1" sqref="B1"/>
    </sheetView>
  </sheetViews>
  <sheetFormatPr defaultColWidth="8.85546875" defaultRowHeight="15"/>
  <cols>
    <col min="1" max="1" width="20.140625" customWidth="1"/>
    <col min="2" max="2" width="122.42578125" customWidth="1"/>
    <col min="3" max="3" width="20.7109375" customWidth="1"/>
    <col min="5" max="5" width="12.85546875" customWidth="1"/>
    <col min="6" max="6" width="12.7109375" customWidth="1"/>
    <col min="7" max="7" width="16.140625" customWidth="1"/>
    <col min="8" max="8" width="19" customWidth="1"/>
  </cols>
  <sheetData>
    <row r="1" spans="1:8">
      <c r="A1" t="s">
        <v>5</v>
      </c>
      <c r="B1" t="s">
        <v>6</v>
      </c>
      <c r="C1" t="s">
        <v>7</v>
      </c>
      <c r="D1" t="s">
        <v>776</v>
      </c>
      <c r="E1" t="s">
        <v>3</v>
      </c>
      <c r="F1" t="s">
        <v>364</v>
      </c>
      <c r="G1" t="s">
        <v>363</v>
      </c>
      <c r="H1" t="s">
        <v>362</v>
      </c>
    </row>
    <row r="2" spans="1:8" s="72" customFormat="1">
      <c r="B2" s="72" t="s">
        <v>777</v>
      </c>
    </row>
    <row r="3" spans="1:8">
      <c r="B3" t="s">
        <v>778</v>
      </c>
      <c r="C3" t="s">
        <v>779</v>
      </c>
      <c r="D3" t="s">
        <v>9</v>
      </c>
      <c r="E3" t="s">
        <v>510</v>
      </c>
      <c r="G3" t="s">
        <v>10</v>
      </c>
    </row>
    <row r="4" spans="1:8">
      <c r="B4" t="s">
        <v>780</v>
      </c>
      <c r="C4" t="s">
        <v>781</v>
      </c>
      <c r="D4" t="s">
        <v>9</v>
      </c>
      <c r="E4" t="s">
        <v>510</v>
      </c>
      <c r="F4" t="s">
        <v>782</v>
      </c>
      <c r="G4" t="s">
        <v>10</v>
      </c>
    </row>
    <row r="5" spans="1:8" ht="15.95">
      <c r="B5" s="6" t="s">
        <v>783</v>
      </c>
      <c r="C5" t="s">
        <v>10</v>
      </c>
      <c r="D5" t="s">
        <v>9</v>
      </c>
      <c r="E5" t="s">
        <v>510</v>
      </c>
      <c r="G5" t="s">
        <v>10</v>
      </c>
    </row>
    <row r="6" spans="1:8" ht="15.95">
      <c r="B6" s="6" t="s">
        <v>784</v>
      </c>
      <c r="C6" t="s">
        <v>10</v>
      </c>
      <c r="D6" t="s">
        <v>9</v>
      </c>
      <c r="E6" t="s">
        <v>510</v>
      </c>
      <c r="G6" t="s">
        <v>10</v>
      </c>
    </row>
    <row r="7" spans="1:8" ht="15.95">
      <c r="B7" s="6" t="s">
        <v>785</v>
      </c>
      <c r="C7" t="s">
        <v>9</v>
      </c>
      <c r="D7" t="s">
        <v>9</v>
      </c>
      <c r="E7" t="s">
        <v>510</v>
      </c>
      <c r="G7" t="s">
        <v>10</v>
      </c>
    </row>
    <row r="8" spans="1:8">
      <c r="B8" t="s">
        <v>786</v>
      </c>
      <c r="C8" t="s">
        <v>787</v>
      </c>
      <c r="D8" t="s">
        <v>9</v>
      </c>
      <c r="E8" t="s">
        <v>510</v>
      </c>
      <c r="G8" t="s">
        <v>10</v>
      </c>
    </row>
    <row r="9" spans="1:8">
      <c r="B9" t="s">
        <v>788</v>
      </c>
      <c r="C9" t="s">
        <v>789</v>
      </c>
      <c r="D9" t="s">
        <v>9</v>
      </c>
      <c r="E9" t="s">
        <v>510</v>
      </c>
      <c r="G9" t="s">
        <v>10</v>
      </c>
    </row>
    <row r="10" spans="1:8">
      <c r="B10" t="s">
        <v>790</v>
      </c>
      <c r="C10" t="s">
        <v>791</v>
      </c>
      <c r="D10" t="s">
        <v>9</v>
      </c>
      <c r="E10" t="s">
        <v>510</v>
      </c>
      <c r="G10" t="s">
        <v>10</v>
      </c>
    </row>
    <row r="11" spans="1:8" ht="32.1">
      <c r="B11" s="73" t="s">
        <v>792</v>
      </c>
      <c r="C11" t="s">
        <v>793</v>
      </c>
      <c r="D11" t="str">
        <f>IF(C8="Option 2 (Estimated)","Yes","NA")</f>
        <v>NA</v>
      </c>
      <c r="E11" t="s">
        <v>510</v>
      </c>
      <c r="G11" t="s">
        <v>10</v>
      </c>
    </row>
    <row r="12" spans="1:8" ht="15.95">
      <c r="B12" s="73" t="s">
        <v>794</v>
      </c>
      <c r="C12" t="s">
        <v>10</v>
      </c>
      <c r="D12" t="str">
        <f>IF(C8="Option 2 (Estimated)","Yes","NA")</f>
        <v>NA</v>
      </c>
      <c r="E12" t="s">
        <v>510</v>
      </c>
      <c r="G12" t="s">
        <v>10</v>
      </c>
    </row>
    <row r="13" spans="1:8" ht="15.95">
      <c r="B13" s="73" t="s">
        <v>795</v>
      </c>
      <c r="C13" t="s">
        <v>9</v>
      </c>
      <c r="D13" t="str">
        <f>IF(C8="Option 2 (Estimated)","Yes","NA")</f>
        <v>NA</v>
      </c>
      <c r="E13" t="s">
        <v>510</v>
      </c>
      <c r="G13" t="s">
        <v>10</v>
      </c>
    </row>
    <row r="14" spans="1:8" ht="15.95">
      <c r="B14" s="73" t="s">
        <v>796</v>
      </c>
      <c r="C14" t="s">
        <v>797</v>
      </c>
      <c r="D14" t="str">
        <f>IF(C8="Option 2 (Estimated)","Yes","NA")</f>
        <v>NA</v>
      </c>
      <c r="E14" t="s">
        <v>510</v>
      </c>
      <c r="G14" t="s">
        <v>10</v>
      </c>
    </row>
    <row r="15" spans="1:8" ht="15.95">
      <c r="B15" s="73" t="s">
        <v>798</v>
      </c>
      <c r="C15" t="s">
        <v>9</v>
      </c>
      <c r="D15" t="str">
        <f>IF(C8="Option 2 (Estimated)","Yes","NA")</f>
        <v>NA</v>
      </c>
      <c r="E15" t="s">
        <v>510</v>
      </c>
      <c r="G15" t="s">
        <v>10</v>
      </c>
    </row>
    <row r="16" spans="1:8" ht="15.95">
      <c r="B16" s="73" t="s">
        <v>799</v>
      </c>
      <c r="C16" t="s">
        <v>10</v>
      </c>
      <c r="D16" t="str">
        <f>IF(C8="Option 2 (Estimated)","Yes","NA")</f>
        <v>NA</v>
      </c>
      <c r="E16" t="s">
        <v>510</v>
      </c>
      <c r="G16" t="s">
        <v>10</v>
      </c>
    </row>
    <row r="17" spans="2:7" ht="15.95">
      <c r="B17" s="73" t="s">
        <v>800</v>
      </c>
      <c r="C17" t="s">
        <v>801</v>
      </c>
      <c r="D17" t="str">
        <f>IF(AND(C4="Application B",C6="Yes"),"Yes","No")</f>
        <v>No</v>
      </c>
      <c r="E17" t="s">
        <v>510</v>
      </c>
      <c r="G17" t="s">
        <v>10</v>
      </c>
    </row>
    <row r="18" spans="2:7" ht="15.95">
      <c r="B18" s="73" t="s">
        <v>802</v>
      </c>
      <c r="C18" t="s">
        <v>10</v>
      </c>
      <c r="D18" t="str">
        <f>IF(C4="Application B","Yes","NA")</f>
        <v>Yes</v>
      </c>
      <c r="E18" t="s">
        <v>510</v>
      </c>
      <c r="G18" t="s">
        <v>10</v>
      </c>
    </row>
    <row r="19" spans="2:7" ht="15.95">
      <c r="B19" s="73" t="s">
        <v>803</v>
      </c>
      <c r="C19" t="s">
        <v>804</v>
      </c>
      <c r="D19" t="str">
        <f>IF(AND(C4="Application B",C18="Yes"),"NA","Yes")</f>
        <v>Yes</v>
      </c>
      <c r="E19" t="s">
        <v>510</v>
      </c>
      <c r="G19" t="s">
        <v>10</v>
      </c>
    </row>
    <row r="20" spans="2:7">
      <c r="B20" t="s">
        <v>805</v>
      </c>
      <c r="C20" t="s">
        <v>806</v>
      </c>
      <c r="D20" t="s">
        <v>9</v>
      </c>
      <c r="E20" t="s">
        <v>510</v>
      </c>
      <c r="F20" t="s">
        <v>807</v>
      </c>
      <c r="G20" t="s">
        <v>10</v>
      </c>
    </row>
    <row r="21" spans="2:7" ht="15.95">
      <c r="B21" s="73" t="s">
        <v>808</v>
      </c>
      <c r="C21" t="s">
        <v>809</v>
      </c>
      <c r="D21" t="str">
        <f>IF(C20="Default","Yes","NA")</f>
        <v>Yes</v>
      </c>
      <c r="E21" t="s">
        <v>510</v>
      </c>
      <c r="G21" t="s">
        <v>10</v>
      </c>
    </row>
    <row r="22" spans="2:7" ht="15.95">
      <c r="B22" s="73" t="s">
        <v>810</v>
      </c>
      <c r="D22" t="str">
        <f>IF(C21="Other","Yes","NA")</f>
        <v>NA</v>
      </c>
      <c r="E22" t="s">
        <v>510</v>
      </c>
      <c r="G22" t="s">
        <v>10</v>
      </c>
    </row>
    <row r="23" spans="2:7" ht="15.95">
      <c r="B23" s="73" t="s">
        <v>811</v>
      </c>
      <c r="C23" t="s">
        <v>10</v>
      </c>
      <c r="D23" t="s">
        <v>9</v>
      </c>
      <c r="E23" t="s">
        <v>510</v>
      </c>
      <c r="G23" t="s">
        <v>10</v>
      </c>
    </row>
    <row r="24" spans="2:7" s="72" customFormat="1">
      <c r="B24" s="72" t="s">
        <v>812</v>
      </c>
    </row>
    <row r="25" spans="2:7">
      <c r="B25" s="74" t="s">
        <v>813</v>
      </c>
    </row>
    <row r="26" spans="2:7">
      <c r="B26" t="s">
        <v>814</v>
      </c>
      <c r="C26" s="8">
        <f>IF(C8="Option 2 (Estimated)","NA",IF(C4="Application A",0.75,IF(AND(C4="Application B",C9="Humid/wet conditions"),0.85,IF(AND(C4="Application B",C9="Dry conditions"),0.8,))))</f>
        <v>0.85</v>
      </c>
      <c r="D26" t="str">
        <f>IF(C8="Option 1 (Default)","Yes","NA")</f>
        <v>Yes</v>
      </c>
      <c r="E26" t="s">
        <v>503</v>
      </c>
      <c r="G26" t="s">
        <v>10</v>
      </c>
    </row>
    <row r="27" spans="2:7">
      <c r="B27" s="74" t="s">
        <v>815</v>
      </c>
    </row>
    <row r="28" spans="2:7">
      <c r="B28" t="s">
        <v>816</v>
      </c>
      <c r="C28" s="75" t="str">
        <f>IF(C8="Option 1 (Default)","NA",IF(C11="Weighed",0.02,IF(C11="Estimated",0.1)))</f>
        <v>NA</v>
      </c>
      <c r="D28" t="str">
        <f>IF(C8="Option 2 (Estimated)","Yes","NA")</f>
        <v>NA</v>
      </c>
      <c r="E28" t="s">
        <v>503</v>
      </c>
      <c r="G28" t="s">
        <v>10</v>
      </c>
    </row>
    <row r="29" spans="2:7">
      <c r="B29" t="s">
        <v>817</v>
      </c>
      <c r="C29" s="75" t="str">
        <f>IF(C8="Option 1 (Default)","NA",IF(C20="Measure",0.05,IF(C20="Default",0.1)))</f>
        <v>NA</v>
      </c>
      <c r="D29" t="str">
        <f>IF(C8="Option 2 (Estimated)","Yes","NA")</f>
        <v>NA</v>
      </c>
      <c r="E29" t="s">
        <v>503</v>
      </c>
      <c r="G29" t="s">
        <v>10</v>
      </c>
    </row>
    <row r="30" spans="2:7">
      <c r="B30" t="s">
        <v>818</v>
      </c>
      <c r="C30" s="75" t="str">
        <f>IF(C8="Option 1 (Default)","NA",IF(OR(C12="Yes",C13="Yes"),0.05,0.15))</f>
        <v>NA</v>
      </c>
      <c r="D30" t="str">
        <f>IF(C8="Option 2 (Estimated)","Yes","NA")</f>
        <v>NA</v>
      </c>
      <c r="E30" t="s">
        <v>503</v>
      </c>
      <c r="G30" t="s">
        <v>10</v>
      </c>
    </row>
    <row r="31" spans="2:7">
      <c r="B31" t="s">
        <v>819</v>
      </c>
      <c r="C31" s="75" t="str">
        <f>IF(C8="Option 1 (Default)","NA",IF(C12="Yes",0,0.05))</f>
        <v>NA</v>
      </c>
      <c r="D31" t="str">
        <f>IF(C8="Option 2 (Estimated)","Yes","NA")</f>
        <v>NA</v>
      </c>
      <c r="E31" t="s">
        <v>503</v>
      </c>
      <c r="G31" t="s">
        <v>10</v>
      </c>
    </row>
    <row r="32" spans="2:7">
      <c r="B32" t="s">
        <v>820</v>
      </c>
      <c r="C32" s="75" t="str">
        <f>IF(C8="Option 1 (Default)","NA",IF(C14="Managed",0,IF(C14="Unmanaged",0.5)))</f>
        <v>NA</v>
      </c>
      <c r="D32" t="str">
        <f>IF(C8="Option 2 (Estimated)","Yes","NA")</f>
        <v>NA</v>
      </c>
      <c r="E32" t="s">
        <v>503</v>
      </c>
      <c r="G32" t="s">
        <v>10</v>
      </c>
    </row>
    <row r="33" spans="1:7" ht="17.100000000000001">
      <c r="B33" t="s">
        <v>821</v>
      </c>
      <c r="C33" s="75" t="str">
        <f>IF(C8="Option 1 (Default)","NA",IF(AND(C4="Application B",C15="Yes",C84&gt;0.2),0.05,IF(AND(C4="Application A",C16="Yes"),0.05,0.2)))</f>
        <v>NA</v>
      </c>
      <c r="D33" t="str">
        <f>IF(C8="Option 2 (Estimated)","Yes","NA")</f>
        <v>NA</v>
      </c>
      <c r="E33" t="s">
        <v>503</v>
      </c>
      <c r="G33" t="s">
        <v>10</v>
      </c>
    </row>
    <row r="34" spans="1:7">
      <c r="A34" t="s">
        <v>822</v>
      </c>
      <c r="B34" t="s">
        <v>823</v>
      </c>
      <c r="C34" s="8" t="str">
        <f>IF(C8="Option 1 (Default)","NA",SQRT(C28^2+C29^2+C30^2+C31^2+C32^2+C33^2))</f>
        <v>NA</v>
      </c>
      <c r="D34" t="str">
        <f>IF(C8="Option 2 (Estimated)","Yes","NA")</f>
        <v>NA</v>
      </c>
      <c r="E34" t="s">
        <v>503</v>
      </c>
      <c r="G34" t="s">
        <v>10</v>
      </c>
    </row>
    <row r="35" spans="1:7">
      <c r="A35" t="s">
        <v>824</v>
      </c>
      <c r="B35" t="s">
        <v>825</v>
      </c>
      <c r="C35" s="8" t="str">
        <f>IF(C8="Option 1 (Default)","NA",1/(1+C34))</f>
        <v>NA</v>
      </c>
      <c r="D35" t="str">
        <f>IF(C8="Option 2 (Estimated)","Yes","NA")</f>
        <v>NA</v>
      </c>
      <c r="E35" t="s">
        <v>503</v>
      </c>
      <c r="G35" t="s">
        <v>10</v>
      </c>
    </row>
    <row r="36" spans="1:7" s="72" customFormat="1">
      <c r="B36" s="72" t="s">
        <v>826</v>
      </c>
    </row>
    <row r="37" spans="1:7">
      <c r="B37" s="74" t="s">
        <v>827</v>
      </c>
    </row>
    <row r="38" spans="1:7">
      <c r="A38" t="s">
        <v>828</v>
      </c>
      <c r="B38" t="s">
        <v>829</v>
      </c>
      <c r="D38" t="str">
        <f>IF(C4="Application A","Yes","NA")</f>
        <v>NA</v>
      </c>
      <c r="E38" t="s">
        <v>111</v>
      </c>
      <c r="G38" t="s">
        <v>10</v>
      </c>
    </row>
    <row r="39" spans="1:7">
      <c r="B39" s="74" t="s">
        <v>781</v>
      </c>
    </row>
    <row r="40" spans="1:7" ht="15.95">
      <c r="A40" t="s">
        <v>830</v>
      </c>
      <c r="B40" s="6" t="s">
        <v>831</v>
      </c>
      <c r="D40" t="str">
        <f>IF(AND(C4="Application B",C23="No"),"Yes","NA")</f>
        <v>Yes</v>
      </c>
      <c r="E40" t="s">
        <v>111</v>
      </c>
      <c r="G40" t="s">
        <v>9</v>
      </c>
    </row>
    <row r="41" spans="1:7" ht="15.95">
      <c r="B41" s="76" t="s">
        <v>832</v>
      </c>
    </row>
    <row r="42" spans="1:7" ht="15.95">
      <c r="A42" t="s">
        <v>833</v>
      </c>
      <c r="B42" s="6" t="s">
        <v>834</v>
      </c>
      <c r="D42" t="str">
        <f>IF(AND(C4="Application B",C23="No"),"Yes","NA")</f>
        <v>Yes</v>
      </c>
      <c r="E42" t="s">
        <v>111</v>
      </c>
      <c r="G42" t="s">
        <v>10</v>
      </c>
    </row>
    <row r="43" spans="1:7">
      <c r="A43" t="s">
        <v>835</v>
      </c>
      <c r="B43" t="s">
        <v>836</v>
      </c>
      <c r="D43" t="str">
        <f>IF(C4="Application B","Yes","NA")</f>
        <v>Yes</v>
      </c>
      <c r="E43" t="s">
        <v>111</v>
      </c>
      <c r="G43" t="s">
        <v>10</v>
      </c>
    </row>
    <row r="44" spans="1:7">
      <c r="A44" t="s">
        <v>837</v>
      </c>
      <c r="B44" t="s">
        <v>838</v>
      </c>
      <c r="C44" s="8" t="e">
        <f>IF(C4="Application A","NA",C40/C42)</f>
        <v>#DIV/0!</v>
      </c>
      <c r="D44" t="str">
        <f>IF(AND(C4="Application B",C23="No"),"Yes","NA")</f>
        <v>Yes</v>
      </c>
      <c r="E44" t="s">
        <v>503</v>
      </c>
      <c r="G44" t="s">
        <v>10</v>
      </c>
    </row>
    <row r="45" spans="1:7">
      <c r="A45" t="s">
        <v>839</v>
      </c>
      <c r="B45" t="s">
        <v>840</v>
      </c>
      <c r="C45" s="8" t="e">
        <f>IF(C4="Application A","NA",C43*C44)</f>
        <v>#DIV/0!</v>
      </c>
      <c r="D45" t="str">
        <f>IF(AND(C4="Application B",C23="No"),"Yes","NA")</f>
        <v>Yes</v>
      </c>
      <c r="E45" t="s">
        <v>503</v>
      </c>
      <c r="G45" t="s">
        <v>10</v>
      </c>
    </row>
    <row r="46" spans="1:7" s="72" customFormat="1">
      <c r="B46" s="72" t="s">
        <v>841</v>
      </c>
    </row>
    <row r="47" spans="1:7">
      <c r="B47" s="74" t="s">
        <v>806</v>
      </c>
    </row>
    <row r="48" spans="1:7">
      <c r="A48" t="s">
        <v>842</v>
      </c>
      <c r="B48" t="s">
        <v>843</v>
      </c>
      <c r="C48" s="8" t="str">
        <f>IF(AND(C4="Application B",C6="Yes",C17="Default"),0.05,IF((C4="Application A"),0.05,"NA"))</f>
        <v>NA</v>
      </c>
      <c r="D48" t="str">
        <f>IF(AND(C4="Application B",C6="Yes",C17="Default"),"Yes",IF((C4="Application A"),"Yes","NA"))</f>
        <v>NA</v>
      </c>
      <c r="E48" t="s">
        <v>503</v>
      </c>
      <c r="G48" t="s">
        <v>10</v>
      </c>
    </row>
    <row r="49" spans="1:9">
      <c r="B49" s="74" t="s">
        <v>844</v>
      </c>
    </row>
    <row r="50" spans="1:9">
      <c r="A50" t="s">
        <v>845</v>
      </c>
      <c r="B50" s="7" t="s">
        <v>846</v>
      </c>
      <c r="D50" t="str">
        <f>IF(AND(C4="Application B",C6="yes",C17="Measure"),"Yes","NA")</f>
        <v>NA</v>
      </c>
      <c r="E50" t="s">
        <v>111</v>
      </c>
      <c r="G50" t="s">
        <v>10</v>
      </c>
    </row>
    <row r="51" spans="1:9">
      <c r="A51" t="s">
        <v>847</v>
      </c>
      <c r="B51" t="s">
        <v>848</v>
      </c>
      <c r="D51" t="str">
        <f>IF(AND(C4="Application B",C6="yes",C17="Measure"),"Yes","NA")</f>
        <v>NA</v>
      </c>
      <c r="E51" t="s">
        <v>111</v>
      </c>
      <c r="G51" t="s">
        <v>10</v>
      </c>
    </row>
    <row r="52" spans="1:9">
      <c r="A52" t="s">
        <v>849</v>
      </c>
      <c r="B52" t="s">
        <v>850</v>
      </c>
      <c r="D52" t="str">
        <f>IF(AND(C4="Application B",C6="yes",C17="Measure"),"Yes","NA")</f>
        <v>NA</v>
      </c>
      <c r="E52" t="s">
        <v>111</v>
      </c>
      <c r="G52" t="s">
        <v>10</v>
      </c>
    </row>
    <row r="53" spans="1:9">
      <c r="A53" t="s">
        <v>851</v>
      </c>
      <c r="B53" t="s">
        <v>852</v>
      </c>
      <c r="D53" t="str">
        <f>IF(AND(C4="Application B",C6="yes",C17="Measure"),"Yes","NA")</f>
        <v>NA</v>
      </c>
      <c r="E53" t="s">
        <v>111</v>
      </c>
      <c r="G53" t="s">
        <v>10</v>
      </c>
    </row>
    <row r="54" spans="1:9">
      <c r="A54" t="s">
        <v>853</v>
      </c>
      <c r="B54" t="s">
        <v>843</v>
      </c>
      <c r="C54" s="8" t="str">
        <f>IF(AND(C4="Application B",C6="Yes",C17="Measure"),0.7*(12/16)*C50/C51*(C52*C53),"NA")</f>
        <v>NA</v>
      </c>
      <c r="D54" t="str">
        <f>IF(AND(C4="Application B",C6="yes",C17="Measure"),"Yes","NA")</f>
        <v>NA</v>
      </c>
      <c r="E54" t="s">
        <v>503</v>
      </c>
      <c r="G54" t="s">
        <v>10</v>
      </c>
    </row>
    <row r="55" spans="1:9">
      <c r="B55" s="74" t="s">
        <v>854</v>
      </c>
    </row>
    <row r="56" spans="1:9" ht="15.95">
      <c r="A56" t="s">
        <v>855</v>
      </c>
      <c r="B56" s="73" t="s">
        <v>856</v>
      </c>
      <c r="D56" t="str">
        <f>IF(AND(C4="Application B",C7="yes"),"Yes","NA")</f>
        <v>Yes</v>
      </c>
      <c r="E56" t="s">
        <v>111</v>
      </c>
      <c r="G56" t="s">
        <v>10</v>
      </c>
    </row>
    <row r="57" spans="1:9">
      <c r="A57" t="s">
        <v>847</v>
      </c>
      <c r="B57" t="s">
        <v>848</v>
      </c>
      <c r="D57" t="str">
        <f>IF(AND(C4="Application B",C7="yes"),"Yes","NA")</f>
        <v>Yes</v>
      </c>
      <c r="E57" t="s">
        <v>111</v>
      </c>
      <c r="G57" t="s">
        <v>10</v>
      </c>
      <c r="I57" s="7"/>
    </row>
    <row r="58" spans="1:9">
      <c r="A58" t="s">
        <v>851</v>
      </c>
      <c r="B58" t="s">
        <v>852</v>
      </c>
      <c r="D58" t="str">
        <f>IF(AND(C4="Application B",C7="yes"),"Yes","NA")</f>
        <v>Yes</v>
      </c>
      <c r="E58" t="s">
        <v>111</v>
      </c>
      <c r="G58" t="s">
        <v>10</v>
      </c>
    </row>
    <row r="59" spans="1:9">
      <c r="A59" t="s">
        <v>853</v>
      </c>
      <c r="B59" s="7" t="s">
        <v>843</v>
      </c>
      <c r="C59" s="8" t="e">
        <f>IF(AND(C4="Application B",C7="Yes"),0.7*(12/16)*C56/(C57*C58),"NA")</f>
        <v>#DIV/0!</v>
      </c>
      <c r="D59" t="str">
        <f>IF(AND(C4="Application B",C7="yes"),"Yes","NA")</f>
        <v>Yes</v>
      </c>
      <c r="E59" t="s">
        <v>503</v>
      </c>
      <c r="G59" t="s">
        <v>10</v>
      </c>
    </row>
    <row r="60" spans="1:9" s="72" customFormat="1">
      <c r="B60" s="72" t="s">
        <v>857</v>
      </c>
    </row>
    <row r="61" spans="1:9">
      <c r="B61" s="74" t="s">
        <v>806</v>
      </c>
    </row>
    <row r="62" spans="1:9">
      <c r="A62" t="s">
        <v>858</v>
      </c>
      <c r="B62" t="s">
        <v>859</v>
      </c>
      <c r="C62" s="8">
        <f>IF(AND(C4="Application B",C18="Yes"),"NA",IF(C19="Anaerobic managed solid waste disposal sites",1, IF(C19="Semi-aerobic managed solid waste disposal sites",0.5,IF(C19="Unmanaged solid waste disposal sites – deep",0.8,IF(C19="Unmanaged-shallow solid waste disposal sites or stockpiles that are considered SWDS",0.4)))))</f>
        <v>0.8</v>
      </c>
      <c r="D62" t="str">
        <f>IF(AND(C4="Application B",C18="Yes"),"NA","Yes")</f>
        <v>Yes</v>
      </c>
      <c r="E62" t="s">
        <v>503</v>
      </c>
      <c r="G62" t="s">
        <v>10</v>
      </c>
    </row>
    <row r="63" spans="1:9">
      <c r="B63" s="74" t="s">
        <v>860</v>
      </c>
    </row>
    <row r="64" spans="1:9">
      <c r="A64" t="s">
        <v>861</v>
      </c>
      <c r="B64" t="s">
        <v>862</v>
      </c>
      <c r="D64" t="str">
        <f>IF(AND(C4="Application B",C18="Yes"),"Yes","NA")</f>
        <v>NA</v>
      </c>
      <c r="E64" t="s">
        <v>111</v>
      </c>
      <c r="G64" t="s">
        <v>10</v>
      </c>
    </row>
    <row r="65" spans="1:7">
      <c r="A65" t="s">
        <v>863</v>
      </c>
      <c r="B65" t="s">
        <v>864</v>
      </c>
      <c r="D65" t="str">
        <f>IF(AND(C4="Application B",C18="Yes"),"Yes","NA")</f>
        <v>NA</v>
      </c>
      <c r="E65" t="s">
        <v>111</v>
      </c>
      <c r="G65" t="s">
        <v>10</v>
      </c>
    </row>
    <row r="66" spans="1:7">
      <c r="A66" t="s">
        <v>865</v>
      </c>
      <c r="B66" t="s">
        <v>859</v>
      </c>
      <c r="C66" s="8" t="str">
        <f>IF(AND(C4="Application B",C18="yes"),MAX((1-2/C65),C64/C65), "NA")</f>
        <v>NA</v>
      </c>
      <c r="D66" t="str">
        <f>IF(AND(C4="Application B",C18="Yes"),"Yes","NA")</f>
        <v>NA</v>
      </c>
      <c r="E66" t="s">
        <v>503</v>
      </c>
      <c r="G66" t="s">
        <v>10</v>
      </c>
    </row>
    <row r="67" spans="1:7" s="72" customFormat="1">
      <c r="B67" s="72" t="s">
        <v>866</v>
      </c>
    </row>
    <row r="68" spans="1:7">
      <c r="B68" s="74" t="s">
        <v>806</v>
      </c>
    </row>
    <row r="69" spans="1:7">
      <c r="A69" t="s">
        <v>867</v>
      </c>
      <c r="B69" t="s">
        <v>852</v>
      </c>
      <c r="C69" s="75">
        <f>IF(AND(C20="Default",C21="Wood and wood products"),0.43,IF(AND(C20="Default",C21="Pulp, paper and cardboard (other than sludge)"),0.4,IF(AND(C20="Default",C21="Food, food waste, beverages and tobacco (other than sludge)"),0.15,IF(AND(C20="Default",C21="Textiles"),0.24,IF(AND(C20="Default",C21="Garden, yard and park waste"),0.2,IF(AND(C20="Default",C21="Glass, plastic, metal, other inert waste"),0, IF(AND(C20="Default",C21="Empty fruit brunches (EFB)"),0.2,IF(AND(C20="Default",C21="Industrial sludge"),0.09,IF(AND(C20="Default",C21="Domestic sludge"),0.05,"NA")))))))))</f>
        <v>0.4</v>
      </c>
      <c r="D69" t="str">
        <f>IF(AND(C4="Application B",C20="Measure"),"NA","Yes")</f>
        <v>Yes</v>
      </c>
      <c r="E69" t="s">
        <v>503</v>
      </c>
      <c r="G69" t="s">
        <v>10</v>
      </c>
    </row>
    <row r="70" spans="1:7">
      <c r="B70" s="74" t="s">
        <v>868</v>
      </c>
    </row>
    <row r="71" spans="1:7">
      <c r="A71" t="s">
        <v>869</v>
      </c>
      <c r="B71" t="s">
        <v>852</v>
      </c>
      <c r="D71" t="str">
        <f>IF(AND(C4="Application B",C20="Measure"),"Yes","NA")</f>
        <v>NA</v>
      </c>
      <c r="E71" t="s">
        <v>111</v>
      </c>
      <c r="G71" t="s">
        <v>10</v>
      </c>
    </row>
    <row r="72" spans="1:7" s="72" customFormat="1" ht="18.95">
      <c r="B72" s="77" t="s">
        <v>870</v>
      </c>
    </row>
    <row r="73" spans="1:7" ht="15.95">
      <c r="A73" t="s">
        <v>871</v>
      </c>
      <c r="B73" s="6" t="s">
        <v>872</v>
      </c>
      <c r="D73" t="s">
        <v>9</v>
      </c>
      <c r="E73" t="s">
        <v>111</v>
      </c>
      <c r="G73" t="s">
        <v>10</v>
      </c>
    </row>
    <row r="74" spans="1:7">
      <c r="A74" t="s">
        <v>873</v>
      </c>
      <c r="B74" t="s">
        <v>874</v>
      </c>
      <c r="D74" t="s">
        <v>9</v>
      </c>
      <c r="E74" t="s">
        <v>111</v>
      </c>
      <c r="G74" t="s">
        <v>10</v>
      </c>
    </row>
    <row r="75" spans="1:7">
      <c r="A75" t="s">
        <v>853</v>
      </c>
      <c r="B75" t="s">
        <v>843</v>
      </c>
      <c r="C75" s="8" t="e">
        <f>IF(C4="Application A",C48,IF(AND(C4="Application B",C6="Yes",C17="Default"),C48,IF(AND(C4="Application B",C6="Yes",C17="Measure"),C54, IF(AND(C4="Application B",C7="Yes",C17="Measure"),C59))))</f>
        <v>#DIV/0!</v>
      </c>
      <c r="D75" t="s">
        <v>9</v>
      </c>
      <c r="E75" t="s">
        <v>503</v>
      </c>
      <c r="G75" t="s">
        <v>10</v>
      </c>
    </row>
    <row r="76" spans="1:7">
      <c r="A76" t="s">
        <v>875</v>
      </c>
      <c r="B76" t="s">
        <v>840</v>
      </c>
      <c r="C76" s="8" t="e">
        <f>IF(C4="Application A",C38,IF(AND(C4="Application B",C23="No"),C45,IF(AND(C4="Application B",C23="Yes"),C43)))</f>
        <v>#DIV/0!</v>
      </c>
      <c r="D76" t="s">
        <v>9</v>
      </c>
      <c r="E76" t="s">
        <v>503</v>
      </c>
      <c r="G76" t="s">
        <v>10</v>
      </c>
    </row>
    <row r="77" spans="1:7">
      <c r="A77" t="s">
        <v>824</v>
      </c>
      <c r="B77" t="s">
        <v>825</v>
      </c>
      <c r="C77" s="8">
        <f>IF(C8="Option 1 (Default)",C26,C35)</f>
        <v>0.85</v>
      </c>
      <c r="D77" t="s">
        <v>9</v>
      </c>
      <c r="E77" t="s">
        <v>503</v>
      </c>
      <c r="G77" t="s">
        <v>10</v>
      </c>
    </row>
    <row r="78" spans="1:7" ht="15.95" thickBot="1">
      <c r="A78" t="s">
        <v>876</v>
      </c>
      <c r="B78" t="s">
        <v>877</v>
      </c>
      <c r="D78" t="s">
        <v>9</v>
      </c>
      <c r="E78" t="s">
        <v>111</v>
      </c>
      <c r="G78" t="s">
        <v>10</v>
      </c>
    </row>
    <row r="79" spans="1:7" ht="15.95" thickBot="1">
      <c r="A79" t="s">
        <v>878</v>
      </c>
      <c r="B79" t="s">
        <v>879</v>
      </c>
      <c r="C79" s="78">
        <v>28</v>
      </c>
      <c r="D79" t="s">
        <v>9</v>
      </c>
      <c r="E79" t="s">
        <v>880</v>
      </c>
      <c r="G79" t="s">
        <v>10</v>
      </c>
    </row>
    <row r="80" spans="1:7" ht="15.95" thickBot="1">
      <c r="A80" t="s">
        <v>881</v>
      </c>
      <c r="B80" t="s">
        <v>882</v>
      </c>
      <c r="C80" s="78">
        <v>0.1</v>
      </c>
      <c r="D80" t="s">
        <v>9</v>
      </c>
      <c r="E80" t="s">
        <v>880</v>
      </c>
      <c r="G80" t="s">
        <v>10</v>
      </c>
    </row>
    <row r="81" spans="1:7" ht="15.95" thickBot="1">
      <c r="A81" t="s">
        <v>847</v>
      </c>
      <c r="B81" t="s">
        <v>848</v>
      </c>
      <c r="C81" s="78">
        <v>0.5</v>
      </c>
      <c r="D81" t="s">
        <v>9</v>
      </c>
      <c r="E81" t="s">
        <v>880</v>
      </c>
      <c r="G81" t="s">
        <v>10</v>
      </c>
    </row>
    <row r="82" spans="1:7">
      <c r="A82" t="s">
        <v>883</v>
      </c>
      <c r="B82" t="s">
        <v>859</v>
      </c>
      <c r="C82" s="8">
        <f>IF(AND(C4="Application B",C18="Yes"),C66,C62)</f>
        <v>0.8</v>
      </c>
      <c r="D82" t="s">
        <v>9</v>
      </c>
      <c r="E82" t="s">
        <v>503</v>
      </c>
      <c r="G82" t="s">
        <v>10</v>
      </c>
    </row>
    <row r="83" spans="1:7">
      <c r="A83" t="s">
        <v>869</v>
      </c>
      <c r="B83" t="s">
        <v>852</v>
      </c>
      <c r="C83" s="75">
        <f>IF(C20="Default",C69,C71)</f>
        <v>0.4</v>
      </c>
      <c r="D83" t="s">
        <v>9</v>
      </c>
      <c r="E83" t="s">
        <v>503</v>
      </c>
      <c r="G83" t="s">
        <v>10</v>
      </c>
    </row>
    <row r="84" spans="1:7">
      <c r="A84" t="s">
        <v>354</v>
      </c>
      <c r="B84" t="s">
        <v>884</v>
      </c>
      <c r="C84" s="8">
        <f>IF(AND(C21="Pulp, paper and cardboard (other than sludge)",C10="Boreal and Temperate",C9="Dry conditions"),0.04,IF(AND(C21="Pulp, paper and cardboard (other than sludge)",C10="Boreal and Temperate",C9="Humid/wet conditions"),0.06,IF(AND(C21="Pulp, paper and cardboard (other than sludge)",C10="Tropical",C9="Dry conditions"),0.045,IF(AND(C21="Pulp, paper and cardboard (other than sludge)",C10="Tropical",C9="Humid/wet conditions"),0.07,IF(AND(C21="Wood and wood products",C10="Boreal and Temperate",C9="Dry conditions"),0.02,IF(AND(C21="Wood and wood products",C10="Boreal and Temperate",C9="Humid/wet conditions"),0.03,IF(AND(C21="Wood and wood products",C10="Tropical",C9="Dry conditions"),0.025,IF(AND(C21="Wood and wood products",C10="Tropical",C9="Humid/wet conditions"),0.035,IF(AND(C21="Garden, yard and park waste",C10="Boreal and Temperate",C9="Dry conditions"),0.05,IF(AND(C21="Garden, yard and park waste",C10="Boreal and Temperate",C9="Humid/wet conditions"),0.1,IF(AND(C21="Garden, yard and park waste",C10="Tropical",C9="Dry conditions"),0.065,IF(AND(C21="Garden, yard and park waste",C10="Tropical",C9="Humid/wet conditions"),0.17,IF(AND(C21="Food, food waste, beverages and tobacco (other than sludge)",C10="Boreal and Temperate",C9="Dry conditions"),0.06,IF(AND(C21="Food, food waste, beverages and tobacco (other than sludge)",C10="Boreal and Temperate",C9="Humid/wet conditions"),0.185,IF(AND(C21="Food, food waste, beverages and tobacco (other than sludge)",C10="Tropical",C9="Dry conditions"),0.085,IF(AND(C21="Food, food waste, beverages and tobacco (other than sludge)",C10="Tropical",C9="Humid/wet conditions"),0.4))))))))))))))))</f>
        <v>7.0000000000000007E-2</v>
      </c>
      <c r="D84" t="s">
        <v>9</v>
      </c>
      <c r="E84" t="s">
        <v>503</v>
      </c>
      <c r="F84" t="s">
        <v>885</v>
      </c>
      <c r="G84" t="s">
        <v>10</v>
      </c>
    </row>
    <row r="85" spans="1:7">
      <c r="A85" t="s">
        <v>129</v>
      </c>
      <c r="B85" t="s">
        <v>886</v>
      </c>
      <c r="C85" s="8" t="str">
        <f>IF(C21="Other",C22,C21)</f>
        <v>Pulp, paper and cardboard (other than sludge)</v>
      </c>
      <c r="D85" t="s">
        <v>9</v>
      </c>
      <c r="E85" t="s">
        <v>503</v>
      </c>
      <c r="G85" t="s">
        <v>10</v>
      </c>
    </row>
    <row r="86" spans="1:7">
      <c r="A86" t="s">
        <v>887</v>
      </c>
      <c r="B86" t="s">
        <v>888</v>
      </c>
      <c r="C86" s="8" t="e">
        <f>C77*(1-C78)*C79*(1-C80)*(16/12)*C81*C75*C82*(C76*C83*EXP(-C84*(C74-C73))*(1-EXP(-C84)))</f>
        <v>#DIV/0!</v>
      </c>
      <c r="D86" t="s">
        <v>9</v>
      </c>
      <c r="E86" t="s">
        <v>503</v>
      </c>
      <c r="G86" t="s">
        <v>10</v>
      </c>
    </row>
    <row r="87" spans="1:7">
      <c r="B87" s="79" t="s">
        <v>889</v>
      </c>
      <c r="F87" t="s">
        <v>890</v>
      </c>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46D0-DB4F-9A43-A795-1A009242540E}">
  <dimension ref="A1:D8"/>
  <sheetViews>
    <sheetView workbookViewId="0">
      <selection activeCell="J31" sqref="J31"/>
    </sheetView>
  </sheetViews>
  <sheetFormatPr defaultColWidth="8.85546875" defaultRowHeight="15"/>
  <cols>
    <col min="1" max="1" width="14.42578125" style="80" customWidth="1"/>
    <col min="2" max="2" width="26.42578125" customWidth="1"/>
    <col min="3" max="3" width="23.7109375" customWidth="1"/>
    <col min="4" max="4" width="25.140625" customWidth="1"/>
  </cols>
  <sheetData>
    <row r="1" spans="1:4" s="80" customFormat="1">
      <c r="B1" s="80" t="s">
        <v>779</v>
      </c>
      <c r="C1" s="80" t="s">
        <v>891</v>
      </c>
      <c r="D1" s="80" t="s">
        <v>892</v>
      </c>
    </row>
    <row r="2" spans="1:4">
      <c r="A2" s="80" t="s">
        <v>893</v>
      </c>
      <c r="B2" t="e">
        <f>IF('[2]Tool 04-SWDS-Yearly'!C3="Baseline Emissions (BE)",'[2]Tool 04-SWDS-Yearly'!C86)</f>
        <v>#DIV/0!</v>
      </c>
      <c r="C2" t="b">
        <f>IF('[2]Tool 04-SWDS-Yearly'!C3="Project Emissions (PE)",'[2]Tool 04-SWDS-Yearly'!C86)</f>
        <v>0</v>
      </c>
      <c r="D2" t="b">
        <f>IF('[2]Tool 04-SWDS-Yearly'!C3="Leakage Emissions (LE)",'[2]Tool 04-SWDS-Yearly'!C86)</f>
        <v>0</v>
      </c>
    </row>
    <row r="3" spans="1:4">
      <c r="A3" s="81" t="s">
        <v>893</v>
      </c>
      <c r="B3" s="14"/>
      <c r="C3" s="14"/>
      <c r="D3" s="14"/>
    </row>
    <row r="4" spans="1:4">
      <c r="A4" s="81" t="s">
        <v>893</v>
      </c>
      <c r="B4" s="14"/>
      <c r="C4" s="14"/>
      <c r="D4" s="14"/>
    </row>
    <row r="5" spans="1:4">
      <c r="A5" s="81" t="s">
        <v>893</v>
      </c>
      <c r="B5" s="14"/>
      <c r="C5" s="14"/>
      <c r="D5" s="14"/>
    </row>
    <row r="6" spans="1:4">
      <c r="A6" s="81" t="s">
        <v>893</v>
      </c>
      <c r="B6" s="14"/>
      <c r="C6" s="14"/>
      <c r="D6" s="14"/>
    </row>
    <row r="7" spans="1:4">
      <c r="A7" s="81" t="s">
        <v>893</v>
      </c>
      <c r="B7" s="14"/>
      <c r="C7" s="14"/>
      <c r="D7" s="14"/>
    </row>
    <row r="8" spans="1:4" s="80" customFormat="1">
      <c r="A8" s="80" t="s">
        <v>894</v>
      </c>
      <c r="B8" s="80" t="e">
        <f>SUM(B2:B7)</f>
        <v>#DIV/0!</v>
      </c>
      <c r="C8" s="80">
        <f t="shared" ref="C8" si="0">SUM(C2:C7)</f>
        <v>0</v>
      </c>
      <c r="D8" s="80">
        <f>SUM(D2:D7)</f>
        <v>0</v>
      </c>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B04E2-DA4A-D840-A1E3-B36856612D97}">
  <dimension ref="A1:M11"/>
  <sheetViews>
    <sheetView workbookViewId="0">
      <selection activeCell="H31" sqref="H31"/>
    </sheetView>
  </sheetViews>
  <sheetFormatPr defaultColWidth="8.85546875" defaultRowHeight="15"/>
  <cols>
    <col min="1" max="1" width="22.28515625" customWidth="1"/>
    <col min="2" max="2" width="27.28515625" customWidth="1"/>
    <col min="3" max="3" width="20.28515625" customWidth="1"/>
    <col min="4" max="4" width="19.42578125" customWidth="1"/>
    <col min="5" max="5" width="26.28515625" customWidth="1"/>
    <col min="6" max="6" width="29.42578125" customWidth="1"/>
    <col min="7" max="9" width="31.140625" customWidth="1"/>
    <col min="10" max="10" width="13.42578125" customWidth="1"/>
  </cols>
  <sheetData>
    <row r="1" spans="1:13">
      <c r="A1" s="80" t="s">
        <v>895</v>
      </c>
      <c r="B1" s="80" t="s">
        <v>896</v>
      </c>
      <c r="C1" s="80" t="s">
        <v>897</v>
      </c>
      <c r="D1" s="80" t="s">
        <v>898</v>
      </c>
      <c r="E1" s="80" t="s">
        <v>899</v>
      </c>
      <c r="F1" s="80" t="s">
        <v>900</v>
      </c>
      <c r="G1" s="80" t="s">
        <v>901</v>
      </c>
      <c r="H1" s="80" t="s">
        <v>902</v>
      </c>
      <c r="I1" s="80" t="s">
        <v>903</v>
      </c>
    </row>
    <row r="2" spans="1:13">
      <c r="A2" t="s">
        <v>779</v>
      </c>
      <c r="B2" t="s">
        <v>827</v>
      </c>
      <c r="C2" t="s">
        <v>904</v>
      </c>
      <c r="D2" t="s">
        <v>9</v>
      </c>
      <c r="E2" t="s">
        <v>787</v>
      </c>
      <c r="F2" t="s">
        <v>806</v>
      </c>
      <c r="G2" t="s">
        <v>789</v>
      </c>
      <c r="H2" t="s">
        <v>905</v>
      </c>
      <c r="I2" t="s">
        <v>906</v>
      </c>
      <c r="J2" t="s">
        <v>907</v>
      </c>
      <c r="K2" t="s">
        <v>801</v>
      </c>
      <c r="L2" t="s">
        <v>797</v>
      </c>
      <c r="M2" t="s">
        <v>908</v>
      </c>
    </row>
    <row r="3" spans="1:13" ht="32.1">
      <c r="A3" t="s">
        <v>891</v>
      </c>
      <c r="B3" t="s">
        <v>781</v>
      </c>
      <c r="C3" t="s">
        <v>909</v>
      </c>
      <c r="D3" t="s">
        <v>10</v>
      </c>
      <c r="E3" t="s">
        <v>910</v>
      </c>
      <c r="F3" t="s">
        <v>801</v>
      </c>
      <c r="G3" t="s">
        <v>911</v>
      </c>
      <c r="H3" t="s">
        <v>791</v>
      </c>
      <c r="I3" s="6" t="s">
        <v>809</v>
      </c>
      <c r="J3" t="s">
        <v>793</v>
      </c>
      <c r="K3" t="s">
        <v>806</v>
      </c>
      <c r="L3" t="s">
        <v>912</v>
      </c>
      <c r="M3" t="s">
        <v>913</v>
      </c>
    </row>
    <row r="4" spans="1:13">
      <c r="A4" t="s">
        <v>892</v>
      </c>
      <c r="I4" t="s">
        <v>914</v>
      </c>
      <c r="M4" t="s">
        <v>804</v>
      </c>
    </row>
    <row r="5" spans="1:13">
      <c r="I5" t="s">
        <v>915</v>
      </c>
      <c r="M5" t="s">
        <v>916</v>
      </c>
    </row>
    <row r="6" spans="1:13">
      <c r="I6" t="s">
        <v>917</v>
      </c>
    </row>
    <row r="7" spans="1:13">
      <c r="I7" t="s">
        <v>918</v>
      </c>
    </row>
    <row r="8" spans="1:13">
      <c r="I8" t="s">
        <v>919</v>
      </c>
    </row>
    <row r="9" spans="1:13">
      <c r="I9" t="s">
        <v>920</v>
      </c>
    </row>
    <row r="10" spans="1:13">
      <c r="I10" t="s">
        <v>921</v>
      </c>
    </row>
    <row r="11" spans="1:13">
      <c r="I11" t="s">
        <v>922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62E47-4BA3-1148-A57A-36B2E93DE75C}">
  <dimension ref="A1:F10"/>
  <sheetViews>
    <sheetView workbookViewId="0">
      <selection activeCell="D22" sqref="D22"/>
    </sheetView>
  </sheetViews>
  <sheetFormatPr defaultColWidth="11.42578125" defaultRowHeight="15"/>
  <cols>
    <col min="1" max="1" width="18.42578125" customWidth="1"/>
    <col min="2" max="3" width="16.7109375" customWidth="1"/>
    <col min="4" max="4" width="44.28515625" customWidth="1"/>
    <col min="5" max="5" width="27.7109375" customWidth="1"/>
    <col min="6" max="6" width="140.85546875" customWidth="1"/>
  </cols>
  <sheetData>
    <row r="1" spans="1:6" s="1" customFormat="1" ht="18.95">
      <c r="A1" s="1" t="s">
        <v>0</v>
      </c>
      <c r="B1" s="1" t="s">
        <v>3</v>
      </c>
      <c r="C1" s="1" t="s">
        <v>5</v>
      </c>
      <c r="D1" s="2" t="s">
        <v>6</v>
      </c>
      <c r="E1" s="2" t="s">
        <v>2</v>
      </c>
      <c r="F1" s="1" t="s">
        <v>7</v>
      </c>
    </row>
    <row r="2" spans="1:6" s="5" customFormat="1" ht="18.95">
      <c r="A2" s="3"/>
      <c r="B2" s="4"/>
      <c r="C2" s="4"/>
      <c r="D2" s="3" t="s">
        <v>170</v>
      </c>
      <c r="E2" s="4"/>
      <c r="F2" s="4"/>
    </row>
    <row r="3" spans="1:6" s="8" customFormat="1" ht="33">
      <c r="A3" s="8" t="s">
        <v>10</v>
      </c>
      <c r="B3" s="8" t="s">
        <v>80</v>
      </c>
      <c r="C3" s="13" t="s">
        <v>106</v>
      </c>
      <c r="D3" s="9" t="s">
        <v>107</v>
      </c>
      <c r="E3" s="8" t="s">
        <v>9</v>
      </c>
      <c r="F3" s="10" t="e">
        <f>F6*F4/('ACM0001'!H34)</f>
        <v>#VALUE!</v>
      </c>
    </row>
    <row r="4" spans="1:6" ht="33">
      <c r="A4" t="s">
        <v>9</v>
      </c>
      <c r="B4" t="s">
        <v>111</v>
      </c>
      <c r="C4" t="s">
        <v>171</v>
      </c>
      <c r="D4" s="6" t="s">
        <v>172</v>
      </c>
      <c r="E4" t="s">
        <v>9</v>
      </c>
    </row>
    <row r="5" spans="1:6" s="105" customFormat="1" ht="32.1">
      <c r="A5" s="105" t="s">
        <v>9</v>
      </c>
      <c r="B5" s="105" t="s">
        <v>83</v>
      </c>
      <c r="C5" s="105" t="s">
        <v>12</v>
      </c>
      <c r="D5" s="106" t="s">
        <v>173</v>
      </c>
      <c r="E5" s="105" t="s">
        <v>10</v>
      </c>
      <c r="F5" s="105" t="s">
        <v>174</v>
      </c>
    </row>
    <row r="6" spans="1:6" s="8" customFormat="1" ht="33">
      <c r="A6" s="8" t="s">
        <v>9</v>
      </c>
      <c r="B6" s="8" t="s">
        <v>80</v>
      </c>
      <c r="C6" s="8" t="s">
        <v>175</v>
      </c>
      <c r="D6" s="9" t="s">
        <v>176</v>
      </c>
      <c r="E6" s="8" t="s">
        <v>10</v>
      </c>
      <c r="F6" s="8" t="s">
        <v>177</v>
      </c>
    </row>
    <row r="7" spans="1:6" s="5" customFormat="1" ht="18.95">
      <c r="A7" s="3"/>
      <c r="B7" s="4"/>
      <c r="C7" s="4"/>
      <c r="D7" s="3" t="s">
        <v>178</v>
      </c>
      <c r="E7" s="4"/>
      <c r="F7" s="4"/>
    </row>
    <row r="8" spans="1:6" ht="33">
      <c r="A8" t="s">
        <v>9</v>
      </c>
      <c r="B8" t="s">
        <v>111</v>
      </c>
      <c r="C8" t="s">
        <v>175</v>
      </c>
      <c r="D8" s="6" t="s">
        <v>176</v>
      </c>
      <c r="E8" t="s">
        <v>9</v>
      </c>
      <c r="F8" s="7"/>
    </row>
    <row r="9" spans="1:6" s="5" customFormat="1" ht="18.95">
      <c r="A9" s="3"/>
      <c r="B9" s="4"/>
      <c r="C9" s="4"/>
      <c r="D9" s="3" t="s">
        <v>179</v>
      </c>
      <c r="E9" s="4"/>
      <c r="F9" s="4"/>
    </row>
    <row r="10" spans="1:6" s="8" customFormat="1" ht="33">
      <c r="A10" s="8" t="s">
        <v>10</v>
      </c>
      <c r="B10" s="8" t="s">
        <v>80</v>
      </c>
      <c r="C10" s="8" t="s">
        <v>175</v>
      </c>
      <c r="D10" s="9" t="s">
        <v>176</v>
      </c>
      <c r="E10" s="8" t="s">
        <v>10</v>
      </c>
      <c r="F10" s="10">
        <v>0.5</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4C786-10A2-A34C-9B7F-4BE4C6C3A40D}">
  <dimension ref="A1:H27"/>
  <sheetViews>
    <sheetView workbookViewId="0">
      <selection activeCell="I10" sqref="I10"/>
    </sheetView>
  </sheetViews>
  <sheetFormatPr defaultColWidth="8.85546875" defaultRowHeight="15"/>
  <cols>
    <col min="1" max="1" width="9.85546875" customWidth="1"/>
    <col min="2" max="2" width="87.42578125" style="6" customWidth="1"/>
    <col min="5" max="5" width="19.42578125" customWidth="1"/>
    <col min="6" max="6" width="29.85546875" customWidth="1"/>
    <col min="7" max="7" width="16.140625" customWidth="1"/>
    <col min="8" max="8" width="18.42578125" customWidth="1"/>
  </cols>
  <sheetData>
    <row r="1" spans="1:8">
      <c r="A1" t="s">
        <v>5</v>
      </c>
      <c r="B1" t="s">
        <v>6</v>
      </c>
      <c r="C1" t="s">
        <v>7</v>
      </c>
      <c r="D1" t="s">
        <v>776</v>
      </c>
      <c r="E1" t="s">
        <v>3</v>
      </c>
      <c r="F1" t="s">
        <v>364</v>
      </c>
      <c r="G1" t="s">
        <v>363</v>
      </c>
      <c r="H1" t="s">
        <v>362</v>
      </c>
    </row>
    <row r="2" spans="1:8" ht="15.95">
      <c r="B2" s="6" t="s">
        <v>923</v>
      </c>
      <c r="C2" t="s">
        <v>9</v>
      </c>
      <c r="D2" t="s">
        <v>9</v>
      </c>
      <c r="E2" t="s">
        <v>510</v>
      </c>
      <c r="F2" t="s">
        <v>924</v>
      </c>
      <c r="G2" t="s">
        <v>10</v>
      </c>
    </row>
    <row r="3" spans="1:8" ht="15.95">
      <c r="B3" s="6" t="s">
        <v>925</v>
      </c>
      <c r="C3" t="s">
        <v>926</v>
      </c>
      <c r="D3" t="s">
        <v>9</v>
      </c>
      <c r="E3" t="s">
        <v>510</v>
      </c>
      <c r="G3" t="s">
        <v>10</v>
      </c>
    </row>
    <row r="4" spans="1:8" ht="15.95">
      <c r="B4" s="6" t="s">
        <v>927</v>
      </c>
      <c r="C4" t="s">
        <v>9</v>
      </c>
      <c r="D4" t="str">
        <f>IF(OR(C3="Option A: Use the manufacturer’s load-efficiency function",C3="Option E: Determine the efficiency based on measurements and use a conservative value"),"Yes","No")</f>
        <v>No</v>
      </c>
      <c r="E4" t="s">
        <v>510</v>
      </c>
    </row>
    <row r="5" spans="1:8" ht="32.1">
      <c r="B5" s="6" t="s">
        <v>928</v>
      </c>
      <c r="D5" t="str">
        <f>IF(OR(C3="Option B: Establish a load-efficiency function based on measurements and a regression analysis",C3="Option C: Establish the efficiency based on historical data and a regression analysis",C3="Option E: Determine the efficiency based on measurements and use a conservative value"),"Yes","No")</f>
        <v>Yes</v>
      </c>
      <c r="E5" t="s">
        <v>11</v>
      </c>
      <c r="F5" t="s">
        <v>929</v>
      </c>
      <c r="G5" t="s">
        <v>10</v>
      </c>
    </row>
    <row r="6" spans="1:8" ht="15.95">
      <c r="B6" s="6" t="s">
        <v>930</v>
      </c>
      <c r="C6" t="s">
        <v>10</v>
      </c>
      <c r="D6" t="s">
        <v>9</v>
      </c>
      <c r="E6" t="s">
        <v>510</v>
      </c>
      <c r="G6" t="s">
        <v>10</v>
      </c>
    </row>
    <row r="7" spans="1:8" ht="32.1">
      <c r="B7" s="6" t="s">
        <v>931</v>
      </c>
      <c r="C7" t="s">
        <v>9</v>
      </c>
      <c r="D7" t="str">
        <f>IF(OR(C3="Option A: Use the manufacturer’s load-efficiency function",C3="Option D: Use the manufacturer’s efficiency values"),"Yes","No")</f>
        <v>No</v>
      </c>
      <c r="E7" t="s">
        <v>510</v>
      </c>
      <c r="F7" t="s">
        <v>932</v>
      </c>
      <c r="G7" t="s">
        <v>10</v>
      </c>
    </row>
    <row r="8" spans="1:8" ht="32.1">
      <c r="B8" s="6" t="s">
        <v>933</v>
      </c>
      <c r="C8" t="s">
        <v>9</v>
      </c>
      <c r="D8" t="str">
        <f>IF(C3="Option A: Use the manufacturer’s load-efficiency function","Yes","No")</f>
        <v>No</v>
      </c>
      <c r="E8" t="s">
        <v>510</v>
      </c>
      <c r="G8" t="s">
        <v>10</v>
      </c>
    </row>
    <row r="9" spans="1:8" ht="15.95">
      <c r="B9" s="6" t="s">
        <v>934</v>
      </c>
      <c r="C9" t="s">
        <v>9</v>
      </c>
      <c r="D9" t="str">
        <f>IF(C3="Option A: Use the manufacturer’s load-efficiency function","Yes","No")</f>
        <v>No</v>
      </c>
      <c r="E9" t="s">
        <v>510</v>
      </c>
      <c r="G9" t="s">
        <v>10</v>
      </c>
    </row>
    <row r="10" spans="1:8" ht="32.1">
      <c r="B10" s="6" t="s">
        <v>935</v>
      </c>
      <c r="C10" t="s">
        <v>10</v>
      </c>
      <c r="D10" t="str">
        <f>IF(OR(C3="Option A: Use the manufacturer’s load-efficiency function",C3="Option C: Establish the efficiency based on historical data and a regression analysis"),"Yes","No")</f>
        <v>Yes</v>
      </c>
      <c r="E10" t="s">
        <v>510</v>
      </c>
      <c r="G10" t="s">
        <v>10</v>
      </c>
    </row>
    <row r="11" spans="1:8" ht="48">
      <c r="B11" s="6" t="s">
        <v>936</v>
      </c>
      <c r="C11" t="s">
        <v>9</v>
      </c>
      <c r="D11" t="str">
        <f>IF(AND(C3="Option C: Establish the efficiency based on historical data and a regression analysis",C6="No"),"Yes","No")</f>
        <v>Yes</v>
      </c>
      <c r="E11" t="s">
        <v>510</v>
      </c>
      <c r="G11" t="s">
        <v>10</v>
      </c>
    </row>
    <row r="12" spans="1:8" ht="32.1">
      <c r="B12" s="6" t="s">
        <v>937</v>
      </c>
      <c r="C12" t="s">
        <v>9</v>
      </c>
      <c r="D12" t="str">
        <f>IF(AND(C3="Option C: Establish the efficiency based on historical data and a regression analysis",C6="Yes"),"Yes","No")</f>
        <v>No</v>
      </c>
      <c r="E12" t="s">
        <v>510</v>
      </c>
      <c r="G12" t="s">
        <v>10</v>
      </c>
    </row>
    <row r="13" spans="1:8" s="72" customFormat="1" ht="15.95">
      <c r="B13" s="82" t="s">
        <v>938</v>
      </c>
      <c r="D13" s="72" t="str">
        <f>IF(AND(C2="Yes",C3="Option A: Use the manufacturer’s load-efficiency function",C4="Yes",C6="No",C7="Yes",C8="Yes",C9="Yes",C10="No"),"Yes","NA")</f>
        <v>NA</v>
      </c>
    </row>
    <row r="14" spans="1:8" ht="32.1">
      <c r="A14" t="s">
        <v>939</v>
      </c>
      <c r="B14" s="6" t="s">
        <v>940</v>
      </c>
      <c r="D14" t="str">
        <f>IF(AND(C2="Yes",C3="Option A: Use the manufacturer’s load-efficiency function",C4="Yes",C6="No",C7="Yes",C8="Yes",C9="Yes",C10="No"),"Yes","NA")</f>
        <v>NA</v>
      </c>
      <c r="E14" t="s">
        <v>941</v>
      </c>
      <c r="G14" t="s">
        <v>248</v>
      </c>
    </row>
    <row r="15" spans="1:8" s="72" customFormat="1" ht="15.95">
      <c r="B15" s="82" t="s">
        <v>942</v>
      </c>
      <c r="D15" s="72" t="str">
        <f>IF(AND(C2="Yes",C3="Option B: Establish a load-efficiency function based on measurements and a regression analysis",C6="No"),"Yes","NA")</f>
        <v>NA</v>
      </c>
    </row>
    <row r="16" spans="1:8" ht="32.1">
      <c r="A16" t="s">
        <v>939</v>
      </c>
      <c r="B16" s="6" t="s">
        <v>940</v>
      </c>
      <c r="D16" t="str">
        <f>IF(AND(C2="Yes",C3="Option B: Establish a load-efficiency function based on measurements and a regression analysis",C6="No"),"Yes","NA")</f>
        <v>NA</v>
      </c>
      <c r="E16" t="s">
        <v>941</v>
      </c>
      <c r="F16" t="s">
        <v>943</v>
      </c>
      <c r="G16" t="s">
        <v>10</v>
      </c>
    </row>
    <row r="17" spans="1:7" s="83" customFormat="1" ht="15.95">
      <c r="B17" s="82" t="s">
        <v>944</v>
      </c>
      <c r="D17" s="72" t="str">
        <f>IF(AND(C2="Yes",C3="Option C: Establish the efficiency based on historical data and a regression analysis"),"Yes","NA")</f>
        <v>Yes</v>
      </c>
    </row>
    <row r="18" spans="1:7" ht="15.95">
      <c r="A18" t="s">
        <v>945</v>
      </c>
      <c r="B18" s="6" t="s">
        <v>946</v>
      </c>
      <c r="D18" t="str">
        <f>IF(AND(C2="Yes",C3="Option C: Establish the efficiency based on historical data and a regression analysis",C6="Yes",C10="No",C12="Yes"),"Yes","NA")</f>
        <v>NA</v>
      </c>
      <c r="E18" t="s">
        <v>111</v>
      </c>
      <c r="F18" t="s">
        <v>947</v>
      </c>
      <c r="G18" t="s">
        <v>10</v>
      </c>
    </row>
    <row r="19" spans="1:7" ht="32.1">
      <c r="A19" t="s">
        <v>939</v>
      </c>
      <c r="B19" s="6" t="s">
        <v>940</v>
      </c>
      <c r="D19" t="str">
        <f>IF(AND(C2="Yes",C3="Option C: Establish the efficiency based on historical data and a regression analysis",C6="No",C10="No",C11="Yes"),"Yes","NA")</f>
        <v>Yes</v>
      </c>
      <c r="E19" t="s">
        <v>941</v>
      </c>
      <c r="F19" t="s">
        <v>948</v>
      </c>
      <c r="G19" t="s">
        <v>10</v>
      </c>
    </row>
    <row r="20" spans="1:7" s="83" customFormat="1" ht="15.95">
      <c r="B20" s="82" t="s">
        <v>949</v>
      </c>
      <c r="D20" s="72" t="str">
        <f>IF(AND(C2="Yes",C3="Option D: Use the manufacturer’s efficiency values",C6="Yes",C7="No",C10="No"),"Yes","NA")</f>
        <v>NA</v>
      </c>
    </row>
    <row r="21" spans="1:7" ht="15.95">
      <c r="A21" t="s">
        <v>945</v>
      </c>
      <c r="B21" s="6" t="s">
        <v>946</v>
      </c>
      <c r="D21" t="str">
        <f>IF(AND(C2="Yes",C3="Option D: Use the manufacturer’s efficiency values",C6="Yes",C7="No",C10="No"),"Yes","NA")</f>
        <v>NA</v>
      </c>
      <c r="E21" t="s">
        <v>111</v>
      </c>
      <c r="G21" t="s">
        <v>10</v>
      </c>
    </row>
    <row r="22" spans="1:7" s="83" customFormat="1" ht="15.95">
      <c r="B22" s="82" t="s">
        <v>950</v>
      </c>
      <c r="D22" s="72" t="str">
        <f>IF(AND(C2="Yes",C3="Option E: Determine the efficiency based on measurements and use a conservative value",C4="Yes",C6="Yes"),"Yes","NA")</f>
        <v>NA</v>
      </c>
    </row>
    <row r="23" spans="1:7" ht="15.95">
      <c r="A23" t="s">
        <v>945</v>
      </c>
      <c r="B23" s="6" t="s">
        <v>946</v>
      </c>
      <c r="D23" t="str">
        <f>IF(AND(C2="Yes",C3="Option E: Determine the efficiency based on measurements and use a conservative value",C4="Yes",C6="Yes"),"Yes","NA")</f>
        <v>NA</v>
      </c>
      <c r="E23" t="s">
        <v>111</v>
      </c>
      <c r="F23" t="s">
        <v>951</v>
      </c>
      <c r="G23" t="s">
        <v>10</v>
      </c>
    </row>
    <row r="24" spans="1:7" s="83" customFormat="1" ht="15.95">
      <c r="B24" s="82" t="s">
        <v>952</v>
      </c>
      <c r="D24" s="72" t="str">
        <f>IF(AND(C2="Yes",C3="Option F: Use a default value",C6="Yes"),"Yes","NA")</f>
        <v>NA</v>
      </c>
    </row>
    <row r="25" spans="1:7" ht="17.100000000000001" thickBot="1">
      <c r="A25" t="s">
        <v>945</v>
      </c>
      <c r="B25" s="6" t="s">
        <v>946</v>
      </c>
      <c r="D25" t="str">
        <f>IF(AND(C2="Yes",C3="Option F: Use a default value",C6="Yes"),"Yes","NA")</f>
        <v>NA</v>
      </c>
      <c r="E25" t="s">
        <v>111</v>
      </c>
      <c r="F25" t="s">
        <v>953</v>
      </c>
      <c r="G25" t="s">
        <v>10</v>
      </c>
    </row>
    <row r="26" spans="1:7" s="87" customFormat="1" ht="21.95" thickBot="1">
      <c r="A26" s="84"/>
      <c r="B26" s="85" t="s">
        <v>954</v>
      </c>
      <c r="C26" s="86">
        <f>IF(AND(C3="Option A: Use the manufacturer’s load-efficiency function",D14="Yes"),C14, IF(AND(C3="Option B: Establish a load-efficiency function based on measurements and a regression analysis",D16="Yes"),C16,IF(AND(C3="Option C: Establish the efficiency based on historical data and a regression analysis",D18="Yes"),C18,IF(AND(C3="Option C: Establish the efficiency based on historical data and a regression analysis",D19="Yes"),C19,IF(AND(C3="Option D: Use the manufacturer’s efficiency values",D21="Yes"),C21,IF(AND(C3="Option E: Determine the efficiency based on measurements and use a conservative value",D23="Yes"),C23,IF(AND(C3="Option F: Use a default value",D25="Yes"),C25,"NA")))))))</f>
        <v>0</v>
      </c>
      <c r="E26" s="87" t="s">
        <v>955</v>
      </c>
      <c r="G26" s="87" t="s">
        <v>10</v>
      </c>
    </row>
    <row r="27" spans="1:7">
      <c r="B27" s="88"/>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AF873-61F6-924D-99A3-6C3488797589}">
  <dimension ref="A1"/>
  <sheetViews>
    <sheetView topLeftCell="A57" zoomScale="98" workbookViewId="0">
      <selection activeCell="U33" sqref="U33"/>
    </sheetView>
  </sheetViews>
  <sheetFormatPr defaultColWidth="8.85546875" defaultRowHeight="15"/>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829A7-1C94-B348-9DC2-53D9FA4AA04A}">
  <dimension ref="A1:D7"/>
  <sheetViews>
    <sheetView workbookViewId="0">
      <selection activeCell="J18" sqref="J18"/>
    </sheetView>
  </sheetViews>
  <sheetFormatPr defaultColWidth="8.85546875" defaultRowHeight="15"/>
  <sheetData>
    <row r="1" spans="1:4" s="80" customFormat="1">
      <c r="A1" s="80" t="s">
        <v>956</v>
      </c>
      <c r="D1" s="80" t="s">
        <v>957</v>
      </c>
    </row>
    <row r="2" spans="1:4">
      <c r="A2" t="s">
        <v>938</v>
      </c>
      <c r="D2" t="s">
        <v>9</v>
      </c>
    </row>
    <row r="3" spans="1:4">
      <c r="A3" t="s">
        <v>942</v>
      </c>
      <c r="D3" t="s">
        <v>10</v>
      </c>
    </row>
    <row r="4" spans="1:4">
      <c r="A4" t="s">
        <v>926</v>
      </c>
    </row>
    <row r="5" spans="1:4">
      <c r="A5" t="s">
        <v>949</v>
      </c>
    </row>
    <row r="6" spans="1:4">
      <c r="A6" t="s">
        <v>950</v>
      </c>
    </row>
    <row r="7" spans="1:4">
      <c r="A7" t="s">
        <v>952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212E7-DC79-A943-813D-4D5417F44834}">
  <dimension ref="A1:H24"/>
  <sheetViews>
    <sheetView workbookViewId="0">
      <pane xSplit="1" ySplit="2" topLeftCell="B3" activePane="bottomRight" state="frozen"/>
      <selection pane="bottomRight" activeCell="D21" sqref="D21"/>
      <selection pane="bottomLeft"/>
      <selection pane="topRight"/>
    </sheetView>
  </sheetViews>
  <sheetFormatPr defaultColWidth="8.85546875" defaultRowHeight="15"/>
  <cols>
    <col min="1" max="1" width="12.140625" customWidth="1"/>
    <col min="2" max="2" width="65.7109375" style="6" customWidth="1"/>
    <col min="3" max="3" width="38.28515625" style="7" customWidth="1"/>
    <col min="4" max="4" width="31.140625" customWidth="1"/>
    <col min="5" max="5" width="20.140625" customWidth="1"/>
    <col min="7" max="7" width="17.85546875" customWidth="1"/>
    <col min="8" max="8" width="21" customWidth="1"/>
  </cols>
  <sheetData>
    <row r="1" spans="1:8" ht="15.95">
      <c r="A1" t="s">
        <v>5</v>
      </c>
      <c r="B1" s="6" t="s">
        <v>958</v>
      </c>
      <c r="C1" s="7" t="s">
        <v>959</v>
      </c>
      <c r="D1" t="s">
        <v>776</v>
      </c>
      <c r="E1" t="s">
        <v>3</v>
      </c>
      <c r="F1" t="s">
        <v>364</v>
      </c>
      <c r="G1" t="s">
        <v>960</v>
      </c>
      <c r="H1" t="s">
        <v>1</v>
      </c>
    </row>
    <row r="2" spans="1:8" s="5" customFormat="1" ht="15.95">
      <c r="B2" s="89" t="s">
        <v>777</v>
      </c>
      <c r="C2" s="90"/>
    </row>
    <row r="3" spans="1:8" ht="15.95">
      <c r="B3" s="6" t="s">
        <v>961</v>
      </c>
      <c r="C3" s="7" t="s">
        <v>248</v>
      </c>
      <c r="D3" t="s">
        <v>9</v>
      </c>
      <c r="E3" t="s">
        <v>962</v>
      </c>
      <c r="G3" t="s">
        <v>10</v>
      </c>
    </row>
    <row r="4" spans="1:8" ht="32.1">
      <c r="B4" s="6" t="s">
        <v>963</v>
      </c>
      <c r="C4" s="7" t="s">
        <v>964</v>
      </c>
      <c r="D4" t="s">
        <v>9</v>
      </c>
      <c r="E4" t="s">
        <v>962</v>
      </c>
      <c r="G4" t="s">
        <v>10</v>
      </c>
    </row>
    <row r="5" spans="1:8" ht="15.95">
      <c r="A5" t="s">
        <v>965</v>
      </c>
      <c r="B5" s="6" t="s">
        <v>966</v>
      </c>
      <c r="C5" s="7" t="s">
        <v>967</v>
      </c>
      <c r="D5" t="s">
        <v>9</v>
      </c>
      <c r="E5" t="s">
        <v>11</v>
      </c>
      <c r="G5" t="s">
        <v>10</v>
      </c>
    </row>
    <row r="6" spans="1:8">
      <c r="B6" s="180" t="s">
        <v>968</v>
      </c>
      <c r="C6" s="180"/>
      <c r="D6" s="180"/>
      <c r="E6" s="91"/>
      <c r="F6" t="s">
        <v>969</v>
      </c>
    </row>
    <row r="7" spans="1:8" ht="32.1">
      <c r="B7" s="6" t="s">
        <v>970</v>
      </c>
      <c r="C7" s="7" t="s">
        <v>971</v>
      </c>
      <c r="D7" t="s">
        <v>9</v>
      </c>
      <c r="E7" t="s">
        <v>11</v>
      </c>
      <c r="G7" t="s">
        <v>10</v>
      </c>
    </row>
    <row r="8" spans="1:8" ht="32.1">
      <c r="B8" s="6" t="s">
        <v>972</v>
      </c>
      <c r="C8" s="7" t="s">
        <v>973</v>
      </c>
      <c r="D8" t="s">
        <v>9</v>
      </c>
      <c r="E8" t="s">
        <v>11</v>
      </c>
      <c r="G8" t="s">
        <v>10</v>
      </c>
    </row>
    <row r="9" spans="1:8" ht="32.1">
      <c r="B9" s="6" t="s">
        <v>974</v>
      </c>
      <c r="C9" s="7" t="s">
        <v>975</v>
      </c>
      <c r="D9" t="s">
        <v>9</v>
      </c>
      <c r="E9" t="s">
        <v>11</v>
      </c>
      <c r="G9" t="s">
        <v>10</v>
      </c>
    </row>
    <row r="10" spans="1:8" ht="15.95">
      <c r="B10" s="6" t="s">
        <v>976</v>
      </c>
      <c r="C10" s="7">
        <v>1</v>
      </c>
      <c r="D10" t="s">
        <v>9</v>
      </c>
      <c r="E10" t="s">
        <v>111</v>
      </c>
      <c r="G10" t="s">
        <v>10</v>
      </c>
    </row>
    <row r="11" spans="1:8" ht="32.1">
      <c r="A11" t="s">
        <v>977</v>
      </c>
      <c r="B11" s="6" t="s">
        <v>978</v>
      </c>
      <c r="C11" s="7">
        <v>2</v>
      </c>
      <c r="D11" t="s">
        <v>9</v>
      </c>
      <c r="E11" t="s">
        <v>111</v>
      </c>
      <c r="F11" t="s">
        <v>979</v>
      </c>
      <c r="G11" t="s">
        <v>10</v>
      </c>
    </row>
    <row r="12" spans="1:8" ht="32.1">
      <c r="B12" s="6" t="s">
        <v>980</v>
      </c>
      <c r="C12" s="7" t="s">
        <v>981</v>
      </c>
      <c r="D12" t="s">
        <v>9</v>
      </c>
      <c r="E12" t="s">
        <v>962</v>
      </c>
      <c r="G12" t="s">
        <v>10</v>
      </c>
    </row>
    <row r="13" spans="1:8" ht="29.1" customHeight="1">
      <c r="B13" s="6" t="s">
        <v>982</v>
      </c>
      <c r="C13" s="7" t="s">
        <v>983</v>
      </c>
      <c r="D13" t="s">
        <v>9</v>
      </c>
      <c r="E13" t="s">
        <v>962</v>
      </c>
      <c r="G13" t="s">
        <v>10</v>
      </c>
    </row>
    <row r="14" spans="1:8" ht="15.95">
      <c r="B14" s="6" t="s">
        <v>984</v>
      </c>
      <c r="C14" s="7" t="s">
        <v>985</v>
      </c>
      <c r="D14" t="str">
        <f>IF(C13="Road Vehicle","Yes","No")</f>
        <v>Yes</v>
      </c>
      <c r="E14" t="s">
        <v>962</v>
      </c>
      <c r="G14" t="s">
        <v>10</v>
      </c>
    </row>
    <row r="15" spans="1:8" s="5" customFormat="1" ht="15.95">
      <c r="B15" s="89" t="s">
        <v>981</v>
      </c>
      <c r="C15" s="90"/>
      <c r="D15" s="5" t="str">
        <f>IF(C3="Yes","NA",IF(C13="Rail","NA",IF(C12="Option A: Monitoring fuel consumption","Yes","NA")))</f>
        <v>Yes</v>
      </c>
    </row>
    <row r="16" spans="1:8" ht="32.1">
      <c r="B16" s="6" t="s">
        <v>986</v>
      </c>
      <c r="D16" t="str">
        <f>IF(C3="Yes","NA",IF(C13="Rail","NA",IF(C12="Option A: Monitoring fuel consumption","Yes","NA")))</f>
        <v>Yes</v>
      </c>
      <c r="E16" t="s">
        <v>11</v>
      </c>
      <c r="F16" t="s">
        <v>987</v>
      </c>
    </row>
    <row r="17" spans="1:7" ht="32.1">
      <c r="A17" t="s">
        <v>988</v>
      </c>
      <c r="B17" s="6" t="s">
        <v>989</v>
      </c>
      <c r="C17" s="7" t="str">
        <f>'(Revised) Tool 03'!F3</f>
        <v>Total CO2 emissions from fossil fuel combustion in process j during the year y (tCO2/yr) (From all Cases)</v>
      </c>
      <c r="D17" t="str">
        <f>IF(C3="Yes","NA",IF(C13="Rail","NA",IF(C12="Option A: Monitoring fuel consumption","Yes","NA")))</f>
        <v>Yes</v>
      </c>
      <c r="E17" t="s">
        <v>990</v>
      </c>
      <c r="F17" t="s">
        <v>991</v>
      </c>
      <c r="G17" t="s">
        <v>10</v>
      </c>
    </row>
    <row r="18" spans="1:7" s="5" customFormat="1" ht="15.95">
      <c r="B18" s="89" t="s">
        <v>992</v>
      </c>
      <c r="C18" s="90"/>
      <c r="D18" s="5" t="str">
        <f>IF(C3="Yes","NA",IF(OR(C12="Option B: Using conservative default values",C13="Rail"),"Yes","NA"))</f>
        <v>NA</v>
      </c>
    </row>
    <row r="19" spans="1:7" ht="15.95">
      <c r="A19" t="s">
        <v>993</v>
      </c>
      <c r="B19" s="6" t="s">
        <v>994</v>
      </c>
      <c r="C19" s="7">
        <v>100</v>
      </c>
      <c r="D19" t="str">
        <f>IF(C3="Yes","NA",IF(OR(C12="Option B: Using conservative default values",C13="Rail"),"Yes","NA"))</f>
        <v>NA</v>
      </c>
      <c r="E19" t="s">
        <v>111</v>
      </c>
      <c r="F19" t="s">
        <v>995</v>
      </c>
      <c r="G19" t="s">
        <v>10</v>
      </c>
    </row>
    <row r="20" spans="1:7" ht="32.1">
      <c r="A20" t="s">
        <v>996</v>
      </c>
      <c r="B20" s="6" t="s">
        <v>997</v>
      </c>
      <c r="C20" s="92" t="str">
        <f>IF(OR(C14="Heavy",C13="Rail"),"129","245")</f>
        <v>129</v>
      </c>
      <c r="D20" t="str">
        <f>IF(C3="Yes","NA",IF(OR(C12="Option B: Using conservative default values",C13="Rail"),"Yes","NA"))</f>
        <v>NA</v>
      </c>
      <c r="E20" t="s">
        <v>998</v>
      </c>
      <c r="G20" t="s">
        <v>10</v>
      </c>
    </row>
    <row r="21" spans="1:7" ht="32.1">
      <c r="A21" t="s">
        <v>988</v>
      </c>
      <c r="B21" s="6" t="s">
        <v>999</v>
      </c>
      <c r="C21" s="92">
        <f>C19*C11*C20*(10^-6)</f>
        <v>2.58E-2</v>
      </c>
      <c r="D21" t="str">
        <f>IF(C3="Yes","NA",IF(OR(C12="Option B: Using conservative default values",C13="Rail"),"Yes","NA"))</f>
        <v>NA</v>
      </c>
      <c r="E21" t="s">
        <v>998</v>
      </c>
      <c r="G21" t="s">
        <v>10</v>
      </c>
    </row>
    <row r="24" spans="1:7">
      <c r="C24" s="34"/>
    </row>
  </sheetData>
  <mergeCells count="1">
    <mergeCell ref="B6:D6"/>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A8E04-A55C-C349-BF01-325A47D3A605}">
  <dimension ref="A1:I17"/>
  <sheetViews>
    <sheetView workbookViewId="0">
      <selection activeCell="E35" sqref="E35"/>
    </sheetView>
  </sheetViews>
  <sheetFormatPr defaultColWidth="8.85546875" defaultRowHeight="15"/>
  <cols>
    <col min="1" max="1" width="10.28515625" style="7" customWidth="1"/>
    <col min="2" max="2" width="16.7109375" customWidth="1"/>
    <col min="3" max="3" width="10.28515625" customWidth="1"/>
    <col min="4" max="4" width="8.28515625" customWidth="1"/>
    <col min="5" max="5" width="11.42578125" customWidth="1"/>
    <col min="6" max="6" width="17.7109375" customWidth="1"/>
    <col min="7" max="7" width="20.28515625" customWidth="1"/>
    <col min="8" max="8" width="12.7109375" customWidth="1"/>
  </cols>
  <sheetData>
    <row r="1" spans="1:9" s="1" customFormat="1" ht="20.100000000000001" thickBot="1">
      <c r="A1" s="181" t="s">
        <v>1000</v>
      </c>
      <c r="B1" s="182"/>
      <c r="C1" s="182"/>
      <c r="D1" s="182"/>
      <c r="E1" s="182"/>
      <c r="F1" s="182"/>
      <c r="G1" s="182"/>
      <c r="H1" s="182"/>
      <c r="I1" s="183"/>
    </row>
    <row r="2" spans="1:9" s="80" customFormat="1">
      <c r="A2" s="93" t="s">
        <v>1001</v>
      </c>
      <c r="B2" s="80" t="s">
        <v>1002</v>
      </c>
      <c r="C2" s="80" t="s">
        <v>1003</v>
      </c>
      <c r="D2" s="80" t="s">
        <v>1004</v>
      </c>
      <c r="E2" s="80" t="s">
        <v>1005</v>
      </c>
      <c r="F2" s="80" t="s">
        <v>1006</v>
      </c>
      <c r="G2" s="80" t="s">
        <v>1007</v>
      </c>
      <c r="H2" s="80" t="s">
        <v>1008</v>
      </c>
      <c r="I2" s="94" t="s">
        <v>1009</v>
      </c>
    </row>
    <row r="3" spans="1:9">
      <c r="A3" s="95" t="str">
        <f>IF('[3]Tool 12 - Freight Trans'!C4="Project emissions (PEtr,m)",'[3]Tool 12 - Freight Trans'!C5)</f>
        <v>Activity 1</v>
      </c>
      <c r="B3" s="8" t="str">
        <f>IF('[3]Tool 12 - Freight Trans'!C4="Project emissions (PEtr,m)",'[3]Tool 12 - Freight Trans'!C9)</f>
        <v>Sugar cane bagasse</v>
      </c>
      <c r="C3" s="8">
        <f>IF('[3]Tool 12 - Freight Trans'!C4="Project emissions (PEtr,m)",'[3]Tool 12 - Freight Trans'!C11)</f>
        <v>2</v>
      </c>
      <c r="D3" s="8" t="str">
        <f>IF('[3]Tool 12 - Freight Trans'!C4="Project emissions (PEtr,m)",'[3]Tool 12 - Freight Trans'!C7)</f>
        <v>Source 1</v>
      </c>
      <c r="E3" s="8" t="str">
        <f>IF('[3]Tool 12 - Freight Trans'!C4="Project emissions (PEtr,m)",'[3]Tool 12 - Freight Trans'!C8)</f>
        <v>Facility 1</v>
      </c>
      <c r="F3" s="8" t="b">
        <f>IF(AND('[3]Tool 12 - Freight Trans'!C4="Project emissions (PEtr,m)",'[3]Tool 12 - Freight Trans'!C12="Option B: Using conservative default values"),'[3]Tool 12 - Freight Trans'!C19)</f>
        <v>0</v>
      </c>
      <c r="G3" s="8" t="str">
        <f>IF('[3]Tool 12 - Freight Trans'!C4="Project emissions (PEtr,m)",'[3]Tool 12 - Freight Trans'!C13)</f>
        <v>Road Vehicle</v>
      </c>
      <c r="H3" s="8" t="str">
        <f>IF('[3]Tool 12 - Freight Trans'!C4="Project emissions (PEtr,m)",'[3]Tool 12 - Freight Trans'!C14)</f>
        <v>Heavy</v>
      </c>
      <c r="I3" s="96" t="str">
        <f>IF(AND('[3]Tool 12 - Freight Trans'!C4="Project emissions (PEtr,m)",'[3]Tool 12 - Freight Trans'!C12="Option B: Using conservative default values"),'[3]Tool 12 - Freight Trans'!C21,IF(AND('[3]Tool 12 - Freight Trans'!C4="Project emissions (PEtr,m)",'[3]Tool 12 - Freight Trans'!C12="Option A: Monitoring fuel consumption"),'[3]Tool 12 - Freight Trans'!C17))</f>
        <v>[Tool  03] Parameter = PEFC,j,y</v>
      </c>
    </row>
    <row r="4" spans="1:9">
      <c r="A4" s="97">
        <v>2</v>
      </c>
      <c r="I4" s="98"/>
    </row>
    <row r="5" spans="1:9">
      <c r="A5" s="97">
        <v>3</v>
      </c>
      <c r="I5" s="98"/>
    </row>
    <row r="6" spans="1:9" ht="15.95" thickBot="1">
      <c r="A6" s="97">
        <v>4</v>
      </c>
      <c r="I6" s="98"/>
    </row>
    <row r="7" spans="1:9" s="80" customFormat="1" ht="15.95" thickBot="1">
      <c r="A7" s="99" t="s">
        <v>894</v>
      </c>
      <c r="B7" s="100"/>
      <c r="C7" s="100"/>
      <c r="D7" s="100"/>
      <c r="E7" s="100"/>
      <c r="F7" s="100"/>
      <c r="G7" s="100"/>
      <c r="H7" s="100"/>
      <c r="I7" s="101">
        <f>SUM(I3:I6)</f>
        <v>0</v>
      </c>
    </row>
    <row r="10" spans="1:9" ht="15.95" thickBot="1"/>
    <row r="11" spans="1:9" ht="20.100000000000001" thickBot="1">
      <c r="A11" s="181" t="s">
        <v>1010</v>
      </c>
      <c r="B11" s="182"/>
      <c r="C11" s="182"/>
      <c r="D11" s="182"/>
      <c r="E11" s="182"/>
      <c r="F11" s="182"/>
      <c r="G11" s="182"/>
      <c r="H11" s="182"/>
      <c r="I11" s="183"/>
    </row>
    <row r="12" spans="1:9">
      <c r="A12" s="93" t="s">
        <v>1001</v>
      </c>
      <c r="B12" s="80" t="s">
        <v>1002</v>
      </c>
      <c r="C12" s="80" t="s">
        <v>1003</v>
      </c>
      <c r="D12" s="80" t="s">
        <v>1004</v>
      </c>
      <c r="E12" s="80" t="s">
        <v>1005</v>
      </c>
      <c r="F12" s="80" t="s">
        <v>1006</v>
      </c>
      <c r="G12" s="80" t="s">
        <v>1007</v>
      </c>
      <c r="H12" s="80" t="s">
        <v>1008</v>
      </c>
      <c r="I12" s="94" t="s">
        <v>1009</v>
      </c>
    </row>
    <row r="13" spans="1:9">
      <c r="A13" s="97">
        <v>1</v>
      </c>
      <c r="B13" s="8" t="b">
        <f>IF('[3]Tool 12 - Freight Trans'!C4="Leakage emissions (LEtr,m)",'[3]Tool 12 - Freight Trans'!C9)</f>
        <v>0</v>
      </c>
      <c r="C13" s="8" t="b">
        <f>IF('[3]Tool 12 - Freight Trans'!C4="Leakage emissions (LEtr,m)",'[3]Tool 12 - Freight Trans'!C11)</f>
        <v>0</v>
      </c>
      <c r="D13" s="8" t="b">
        <f>IF('[3]Tool 12 - Freight Trans'!C4="Leakage emissions (LEtr,m)",'[3]Tool 12 - Freight Trans'!C7)</f>
        <v>0</v>
      </c>
      <c r="E13" s="8" t="b">
        <f>IF('[3]Tool 12 - Freight Trans'!C4="Leakage emissions (LEtr,m)",'[3]Tool 12 - Freight Trans'!C8)</f>
        <v>0</v>
      </c>
      <c r="F13" s="8" t="b">
        <f>IF(AND('[3]Tool 12 - Freight Trans'!C4="Leakage emissions (LEtr,m)",'[3]Tool 12 - Freight Trans'!C12="Option B: Using conservative default values"),'[3]Tool 12 - Freight Trans'!C19)</f>
        <v>0</v>
      </c>
      <c r="G13" s="8" t="b">
        <f>IF('[3]Tool 12 - Freight Trans'!C4="Leakage emissions (LEtr,m)",'[3]Tool 12 - Freight Trans'!C13)</f>
        <v>0</v>
      </c>
      <c r="H13" s="8" t="b">
        <f>IF('[3]Tool 12 - Freight Trans'!C4="Leakage emissions (LEtr,m)",'[3]Tool 12 - Freight Trans'!C14)</f>
        <v>0</v>
      </c>
      <c r="I13" s="96" t="b">
        <f>IF(AND('[3]Tool 12 - Freight Trans'!C4="Leakage emissions (LEtr,m)",'[3]Tool 12 - Freight Trans'!C12="Option B: Using conservative default values"),'[3]Tool 12 - Freight Trans'!C21,IF(AND('[3]Tool 12 - Freight Trans'!C4="Leakage emissions (LEtr,m)",'[3]Tool 12 - Freight Trans'!C12="Option A: Monitoring fuel consumption"),'[3]Tool 12 - Freight Trans'!C17))</f>
        <v>0</v>
      </c>
    </row>
    <row r="14" spans="1:9">
      <c r="A14" s="97">
        <v>2</v>
      </c>
      <c r="I14" s="98"/>
    </row>
    <row r="15" spans="1:9">
      <c r="A15" s="97">
        <v>3</v>
      </c>
      <c r="I15" s="98"/>
    </row>
    <row r="16" spans="1:9">
      <c r="A16" s="97">
        <v>4</v>
      </c>
      <c r="I16" s="98"/>
    </row>
    <row r="17" spans="1:9" ht="15.95" thickBot="1">
      <c r="A17" s="102" t="s">
        <v>894</v>
      </c>
      <c r="B17" s="103"/>
      <c r="C17" s="103"/>
      <c r="D17" s="103"/>
      <c r="E17" s="103"/>
      <c r="F17" s="103"/>
      <c r="G17" s="103"/>
      <c r="H17" s="103"/>
      <c r="I17" s="104">
        <f>SUM(I13:I16)</f>
        <v>0</v>
      </c>
    </row>
  </sheetData>
  <mergeCells count="2">
    <mergeCell ref="A1:I1"/>
    <mergeCell ref="A11:I11"/>
  </mergeCell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784CE-5D3C-5041-B0CF-AD12739A05FD}">
  <dimension ref="A1:E3"/>
  <sheetViews>
    <sheetView workbookViewId="0">
      <selection activeCell="L25" sqref="L25"/>
    </sheetView>
  </sheetViews>
  <sheetFormatPr defaultColWidth="8.85546875" defaultRowHeight="15"/>
  <cols>
    <col min="1" max="1" width="38.28515625" customWidth="1"/>
    <col min="2" max="2" width="13.85546875" customWidth="1"/>
    <col min="3" max="3" width="23.140625" customWidth="1"/>
    <col min="4" max="4" width="18.140625" customWidth="1"/>
  </cols>
  <sheetData>
    <row r="1" spans="1:5" s="80" customFormat="1">
      <c r="A1" s="80" t="s">
        <v>1011</v>
      </c>
      <c r="B1" s="80" t="s">
        <v>957</v>
      </c>
      <c r="C1" s="80" t="s">
        <v>1012</v>
      </c>
      <c r="D1" s="80" t="s">
        <v>1008</v>
      </c>
      <c r="E1" s="80" t="s">
        <v>1013</v>
      </c>
    </row>
    <row r="2" spans="1:5">
      <c r="A2" t="s">
        <v>981</v>
      </c>
      <c r="B2" t="s">
        <v>9</v>
      </c>
      <c r="C2" t="s">
        <v>1014</v>
      </c>
      <c r="D2" t="s">
        <v>1015</v>
      </c>
      <c r="E2" t="s">
        <v>964</v>
      </c>
    </row>
    <row r="3" spans="1:5">
      <c r="A3" t="s">
        <v>992</v>
      </c>
      <c r="B3" t="s">
        <v>248</v>
      </c>
      <c r="C3" t="s">
        <v>983</v>
      </c>
      <c r="D3" t="s">
        <v>985</v>
      </c>
      <c r="E3" t="s">
        <v>1016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A3604-C305-0B4E-B1AE-8AC10C9B431A}">
  <dimension ref="A1:H26"/>
  <sheetViews>
    <sheetView workbookViewId="0">
      <pane ySplit="1" topLeftCell="A2" activePane="bottomLeft" state="frozen"/>
      <selection pane="bottomLeft" activeCell="E30" sqref="E30"/>
    </sheetView>
  </sheetViews>
  <sheetFormatPr defaultColWidth="8.85546875" defaultRowHeight="15"/>
  <cols>
    <col min="1" max="2" width="12.7109375" customWidth="1"/>
    <col min="3" max="3" width="10.42578125" customWidth="1"/>
    <col min="4" max="4" width="12.42578125" customWidth="1"/>
    <col min="5" max="5" width="21.42578125" customWidth="1"/>
    <col min="6" max="6" width="61.140625" customWidth="1"/>
    <col min="7" max="7" width="47.85546875" customWidth="1"/>
    <col min="8" max="8" width="60.42578125" customWidth="1"/>
  </cols>
  <sheetData>
    <row r="1" spans="1:8" ht="39.75" customHeight="1">
      <c r="A1" s="37" t="s">
        <v>0</v>
      </c>
      <c r="B1" s="37" t="s">
        <v>362</v>
      </c>
      <c r="C1" s="38" t="s">
        <v>363</v>
      </c>
      <c r="D1" s="37" t="s">
        <v>3</v>
      </c>
      <c r="E1" s="37" t="s">
        <v>5</v>
      </c>
      <c r="F1" s="25" t="s">
        <v>6</v>
      </c>
      <c r="G1" s="25" t="s">
        <v>7</v>
      </c>
      <c r="H1" s="38" t="s">
        <v>364</v>
      </c>
    </row>
    <row r="2" spans="1:8" ht="30" customHeight="1">
      <c r="A2" s="169" t="s">
        <v>1017</v>
      </c>
      <c r="B2" s="169"/>
      <c r="C2" s="169"/>
      <c r="D2" s="169"/>
      <c r="E2" s="169"/>
      <c r="F2" s="169"/>
      <c r="G2" s="169"/>
      <c r="H2" s="169"/>
    </row>
    <row r="3" spans="1:8" ht="68.099999999999994">
      <c r="A3" s="50" t="s">
        <v>9</v>
      </c>
      <c r="B3" s="50"/>
      <c r="C3" s="50" t="s">
        <v>720</v>
      </c>
      <c r="D3" s="50" t="s">
        <v>1018</v>
      </c>
      <c r="E3" s="51" t="s">
        <v>6</v>
      </c>
      <c r="F3" s="50" t="s">
        <v>1019</v>
      </c>
      <c r="G3" s="52" t="s">
        <v>1020</v>
      </c>
      <c r="H3" s="50" t="s">
        <v>1021</v>
      </c>
    </row>
    <row r="4" spans="1:8" ht="33" customHeight="1">
      <c r="A4" s="169" t="s">
        <v>1022</v>
      </c>
      <c r="B4" s="169"/>
      <c r="C4" s="169"/>
      <c r="D4" s="169"/>
      <c r="E4" s="169"/>
      <c r="F4" s="169"/>
      <c r="G4" s="169"/>
      <c r="H4" s="169"/>
    </row>
    <row r="5" spans="1:8" ht="51">
      <c r="A5" s="50" t="s">
        <v>9</v>
      </c>
      <c r="B5" s="50"/>
      <c r="C5" s="50" t="s">
        <v>720</v>
      </c>
      <c r="D5" s="50" t="s">
        <v>1018</v>
      </c>
      <c r="E5" s="53" t="s">
        <v>6</v>
      </c>
      <c r="F5" s="54" t="s">
        <v>1023</v>
      </c>
      <c r="G5" s="55" t="s">
        <v>1024</v>
      </c>
      <c r="H5" s="50" t="s">
        <v>1025</v>
      </c>
    </row>
    <row r="6" spans="1:8" ht="80.099999999999994">
      <c r="A6" s="56" t="s">
        <v>9</v>
      </c>
      <c r="B6" s="57"/>
      <c r="C6" s="56" t="s">
        <v>720</v>
      </c>
      <c r="D6" s="56" t="s">
        <v>716</v>
      </c>
      <c r="E6" s="58" t="s">
        <v>1026</v>
      </c>
      <c r="F6" s="59" t="s">
        <v>1027</v>
      </c>
      <c r="G6" s="60" t="s">
        <v>720</v>
      </c>
      <c r="H6" s="59" t="s">
        <v>1028</v>
      </c>
    </row>
    <row r="7" spans="1:8" ht="18.95">
      <c r="A7" s="61" t="s">
        <v>9</v>
      </c>
      <c r="B7" s="62"/>
      <c r="C7" s="61" t="s">
        <v>720</v>
      </c>
      <c r="D7" s="61" t="s">
        <v>721</v>
      </c>
      <c r="E7" s="63"/>
      <c r="F7" s="64" t="s">
        <v>722</v>
      </c>
      <c r="G7" s="65" t="s">
        <v>723</v>
      </c>
      <c r="H7" s="64" t="s">
        <v>724</v>
      </c>
    </row>
    <row r="8" spans="1:8" ht="159.94999999999999">
      <c r="A8" s="56" t="s">
        <v>9</v>
      </c>
      <c r="B8" s="57"/>
      <c r="C8" s="56" t="s">
        <v>720</v>
      </c>
      <c r="D8" s="56" t="s">
        <v>716</v>
      </c>
      <c r="E8" s="58" t="s">
        <v>1029</v>
      </c>
      <c r="F8" s="59" t="s">
        <v>1030</v>
      </c>
      <c r="G8" s="60" t="s">
        <v>720</v>
      </c>
      <c r="H8" s="59" t="s">
        <v>1028</v>
      </c>
    </row>
    <row r="9" spans="1:8" ht="18.95">
      <c r="A9" s="61" t="s">
        <v>9</v>
      </c>
      <c r="B9" s="62"/>
      <c r="C9" s="61" t="s">
        <v>720</v>
      </c>
      <c r="D9" s="61" t="s">
        <v>721</v>
      </c>
      <c r="E9" s="63"/>
      <c r="F9" s="64" t="s">
        <v>722</v>
      </c>
      <c r="G9" s="65" t="s">
        <v>723</v>
      </c>
      <c r="H9" s="64" t="s">
        <v>724</v>
      </c>
    </row>
    <row r="10" spans="1:8" ht="61.5" customHeight="1">
      <c r="A10" s="169" t="s">
        <v>1031</v>
      </c>
      <c r="B10" s="169"/>
      <c r="C10" s="169"/>
      <c r="D10" s="169"/>
      <c r="E10" s="169"/>
      <c r="F10" s="169"/>
      <c r="G10" s="169"/>
      <c r="H10" s="169"/>
    </row>
    <row r="11" spans="1:8" ht="102">
      <c r="A11" s="50" t="s">
        <v>9</v>
      </c>
      <c r="B11" s="50"/>
      <c r="C11" s="50" t="s">
        <v>720</v>
      </c>
      <c r="D11" s="50" t="s">
        <v>1018</v>
      </c>
      <c r="E11" s="53" t="s">
        <v>6</v>
      </c>
      <c r="F11" s="54" t="s">
        <v>1032</v>
      </c>
      <c r="G11" s="55" t="s">
        <v>1033</v>
      </c>
      <c r="H11" s="50" t="s">
        <v>1034</v>
      </c>
    </row>
    <row r="12" spans="1:8" ht="51">
      <c r="A12" s="56" t="s">
        <v>9</v>
      </c>
      <c r="B12" s="57"/>
      <c r="C12" s="56" t="s">
        <v>720</v>
      </c>
      <c r="D12" s="56" t="s">
        <v>716</v>
      </c>
      <c r="E12" s="184" t="s">
        <v>1035</v>
      </c>
      <c r="F12" s="59" t="s">
        <v>1036</v>
      </c>
      <c r="G12" s="66" t="s">
        <v>1037</v>
      </c>
      <c r="H12" s="59" t="s">
        <v>1038</v>
      </c>
    </row>
    <row r="13" spans="1:8" ht="96">
      <c r="A13" s="56" t="s">
        <v>9</v>
      </c>
      <c r="B13" s="57"/>
      <c r="C13" s="56" t="s">
        <v>720</v>
      </c>
      <c r="D13" s="56" t="s">
        <v>716</v>
      </c>
      <c r="E13" s="184" t="s">
        <v>1039</v>
      </c>
      <c r="F13" s="59" t="s">
        <v>1040</v>
      </c>
      <c r="G13" s="60" t="s">
        <v>720</v>
      </c>
      <c r="H13" s="59" t="s">
        <v>1028</v>
      </c>
    </row>
    <row r="14" spans="1:8" ht="18.95">
      <c r="A14" s="61" t="s">
        <v>9</v>
      </c>
      <c r="B14" s="62"/>
      <c r="C14" s="61" t="s">
        <v>720</v>
      </c>
      <c r="D14" s="61" t="s">
        <v>721</v>
      </c>
      <c r="E14" s="63"/>
      <c r="F14" s="64" t="s">
        <v>722</v>
      </c>
      <c r="G14" s="65" t="s">
        <v>723</v>
      </c>
      <c r="H14" s="64" t="s">
        <v>724</v>
      </c>
    </row>
    <row r="15" spans="1:8" ht="51">
      <c r="A15" s="56" t="s">
        <v>9</v>
      </c>
      <c r="B15" s="57"/>
      <c r="C15" s="56" t="s">
        <v>720</v>
      </c>
      <c r="D15" s="56" t="s">
        <v>716</v>
      </c>
      <c r="E15" s="184" t="s">
        <v>1041</v>
      </c>
      <c r="F15" s="59" t="s">
        <v>1036</v>
      </c>
      <c r="G15" s="66" t="s">
        <v>1042</v>
      </c>
      <c r="H15" s="59" t="s">
        <v>1038</v>
      </c>
    </row>
    <row r="16" spans="1:8" ht="111.95">
      <c r="A16" s="56" t="s">
        <v>9</v>
      </c>
      <c r="B16" s="57"/>
      <c r="C16" s="56" t="s">
        <v>720</v>
      </c>
      <c r="D16" s="56" t="s">
        <v>716</v>
      </c>
      <c r="E16" s="184" t="s">
        <v>1043</v>
      </c>
      <c r="F16" s="59" t="s">
        <v>1044</v>
      </c>
      <c r="G16" s="60" t="s">
        <v>720</v>
      </c>
      <c r="H16" s="59" t="s">
        <v>1028</v>
      </c>
    </row>
    <row r="17" spans="1:8" ht="18.95">
      <c r="A17" s="61" t="s">
        <v>9</v>
      </c>
      <c r="B17" s="62"/>
      <c r="C17" s="61" t="s">
        <v>720</v>
      </c>
      <c r="D17" s="61" t="s">
        <v>721</v>
      </c>
      <c r="E17" s="63"/>
      <c r="F17" s="64" t="s">
        <v>722</v>
      </c>
      <c r="G17" s="65" t="s">
        <v>723</v>
      </c>
      <c r="H17" s="64" t="s">
        <v>724</v>
      </c>
    </row>
    <row r="18" spans="1:8" ht="128.1">
      <c r="A18" s="56" t="s">
        <v>9</v>
      </c>
      <c r="B18" s="57"/>
      <c r="C18" s="56" t="s">
        <v>720</v>
      </c>
      <c r="D18" s="56" t="s">
        <v>716</v>
      </c>
      <c r="E18" s="184" t="s">
        <v>1045</v>
      </c>
      <c r="F18" s="59" t="s">
        <v>1046</v>
      </c>
      <c r="G18" s="60" t="s">
        <v>720</v>
      </c>
      <c r="H18" s="59" t="s">
        <v>1028</v>
      </c>
    </row>
    <row r="19" spans="1:8" ht="32.1">
      <c r="A19" s="61" t="s">
        <v>9</v>
      </c>
      <c r="B19" s="62"/>
      <c r="C19" s="61" t="s">
        <v>720</v>
      </c>
      <c r="D19" s="61" t="s">
        <v>721</v>
      </c>
      <c r="E19" s="63"/>
      <c r="F19" s="64" t="s">
        <v>722</v>
      </c>
      <c r="G19" s="64" t="s">
        <v>1047</v>
      </c>
      <c r="H19" s="64" t="s">
        <v>724</v>
      </c>
    </row>
    <row r="20" spans="1:8" ht="128.1">
      <c r="A20" s="56" t="s">
        <v>9</v>
      </c>
      <c r="B20" s="57"/>
      <c r="C20" s="56" t="s">
        <v>720</v>
      </c>
      <c r="D20" s="56" t="s">
        <v>716</v>
      </c>
      <c r="E20" s="184" t="s">
        <v>1048</v>
      </c>
      <c r="F20" s="59" t="s">
        <v>1049</v>
      </c>
      <c r="G20" s="60" t="s">
        <v>720</v>
      </c>
      <c r="H20" s="59" t="s">
        <v>1028</v>
      </c>
    </row>
    <row r="21" spans="1:8" ht="18.95">
      <c r="A21" s="61" t="s">
        <v>9</v>
      </c>
      <c r="B21" s="62"/>
      <c r="C21" s="61" t="s">
        <v>720</v>
      </c>
      <c r="D21" s="61" t="s">
        <v>721</v>
      </c>
      <c r="E21" s="63"/>
      <c r="F21" s="64" t="s">
        <v>722</v>
      </c>
      <c r="G21" s="65" t="s">
        <v>723</v>
      </c>
      <c r="H21" s="64" t="s">
        <v>724</v>
      </c>
    </row>
    <row r="22" spans="1:8" ht="144">
      <c r="A22" s="56" t="s">
        <v>9</v>
      </c>
      <c r="B22" s="57"/>
      <c r="C22" s="56" t="s">
        <v>720</v>
      </c>
      <c r="D22" s="56" t="s">
        <v>716</v>
      </c>
      <c r="E22" s="184" t="s">
        <v>1050</v>
      </c>
      <c r="F22" s="59" t="s">
        <v>1051</v>
      </c>
      <c r="G22" s="60" t="s">
        <v>720</v>
      </c>
      <c r="H22" s="59" t="s">
        <v>1028</v>
      </c>
    </row>
    <row r="23" spans="1:8" ht="18.95">
      <c r="A23" s="61" t="s">
        <v>9</v>
      </c>
      <c r="B23" s="62"/>
      <c r="C23" s="61" t="s">
        <v>720</v>
      </c>
      <c r="D23" s="61" t="s">
        <v>721</v>
      </c>
      <c r="E23" s="63"/>
      <c r="F23" s="64" t="s">
        <v>722</v>
      </c>
      <c r="G23" s="65" t="s">
        <v>723</v>
      </c>
      <c r="H23" s="64" t="s">
        <v>724</v>
      </c>
    </row>
    <row r="24" spans="1:8" ht="61.5" customHeight="1">
      <c r="A24" s="169" t="s">
        <v>1052</v>
      </c>
      <c r="B24" s="169"/>
      <c r="C24" s="169"/>
      <c r="D24" s="169"/>
      <c r="E24" s="169"/>
      <c r="F24" s="169"/>
      <c r="G24" s="169"/>
      <c r="H24" s="169"/>
    </row>
    <row r="25" spans="1:8" ht="68.099999999999994">
      <c r="A25" s="50" t="s">
        <v>9</v>
      </c>
      <c r="B25" s="50"/>
      <c r="C25" s="50" t="s">
        <v>720</v>
      </c>
      <c r="D25" s="50" t="s">
        <v>1018</v>
      </c>
      <c r="E25" s="53" t="s">
        <v>6</v>
      </c>
      <c r="F25" s="54" t="s">
        <v>1053</v>
      </c>
      <c r="G25" s="55" t="s">
        <v>1054</v>
      </c>
      <c r="H25" s="50" t="s">
        <v>1055</v>
      </c>
    </row>
    <row r="26" spans="1:8" ht="18.95">
      <c r="A26" s="61" t="s">
        <v>9</v>
      </c>
      <c r="B26" s="62"/>
      <c r="C26" s="61" t="s">
        <v>720</v>
      </c>
      <c r="D26" s="61" t="s">
        <v>721</v>
      </c>
      <c r="E26" s="63"/>
      <c r="F26" s="64" t="s">
        <v>722</v>
      </c>
      <c r="G26" s="65" t="s">
        <v>723</v>
      </c>
      <c r="H26" s="64" t="s">
        <v>724</v>
      </c>
    </row>
  </sheetData>
  <mergeCells count="4">
    <mergeCell ref="A2:H2"/>
    <mergeCell ref="A4:H4"/>
    <mergeCell ref="A10:H10"/>
    <mergeCell ref="A24:H24"/>
  </mergeCells>
  <dataValidations count="8">
    <dataValidation type="list" allowBlank="1" showInputMessage="1" showErrorMessage="1" sqref="G3" xr:uid="{0AA7614C-0E6E-5E44-9167-AC3C0618D320}">
      <formula1>"Waste handling and disposal,Renewable energy,Household/Communities/SMEs"</formula1>
    </dataValidation>
    <dataValidation type="list" allowBlank="1" showInputMessage="1" showErrorMessage="1" sqref="G5" xr:uid="{2FAB4AF5-A973-174B-AA41-BB019CFA972F}">
      <formula1>"Landfill gas recovery and its gainful use,Methane recovery in wastewater treatment"</formula1>
    </dataValidation>
    <dataValidation type="list" allowBlank="1" showInputMessage="1" showErrorMessage="1" sqref="G11" xr:uid="{F5CE5772-3496-E248-ACDF-E269DE3EF00C}">
      <formula1>"Tech for large-scale grid-connected power generation,Tech for large-scale isolated grid power generation,Tech for small-scale grid-connected power generation,Tech for small-scale off-grid power generation,Rural electrification projects"</formula1>
    </dataValidation>
    <dataValidation type="list" allowBlank="1" showInputMessage="1" showErrorMessage="1" sqref="G6 G8 G13 G16 G18 G20 G22" xr:uid="{1A4BC763-311F-0741-B033-4107F3FC4397}">
      <formula1>"yes,no"</formula1>
    </dataValidation>
    <dataValidation type="list" allowBlank="1" showInputMessage="1" showErrorMessage="1" sqref="G12" xr:uid="{D7B56790-FA2B-D747-8158-E36BB9C9BBE9}">
      <formula1>"Solar thermal electricity generation includign concentrating solar power,Off-shore wind technologies,Marine wave technologies,Marine tidal technologies,Ocean thermal technologies."</formula1>
    </dataValidation>
    <dataValidation type="list" allowBlank="1" showInputMessage="1" showErrorMessage="1" sqref="G15" xr:uid="{8B34F36E-2728-0545-88F0-6F03D8C24B56}">
      <formula1>"Solar photovoltaic technologies,Solar thermal electricity generation includign concentrating solar power,Off-shore wind technologies,Marine wave technologies,Marine tidal technologies,Ocean thermal technologies."</formula1>
    </dataValidation>
    <dataValidation allowBlank="1" showInputMessage="1" showErrorMessage="1" sqref="G14 G17 G7 G9 G19 G21 G23 G26" xr:uid="{62E3F1B0-FC56-4940-8C0B-B90DE1B961A7}"/>
    <dataValidation type="list" allowBlank="1" showInputMessage="1" showErrorMessage="1" sqref="G25" xr:uid="{0A5314B6-E091-EA4E-8F35-6D894D62826D}">
      <formula1>"Biogas digesters for cooking,Micro-irrigation,Energy efficient pump-set for agriculture"</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9E017-9940-4246-BB88-005AB40B2E09}">
  <dimension ref="A1:B481"/>
  <sheetViews>
    <sheetView topLeftCell="B2" zoomScale="120" zoomScaleNormal="120" workbookViewId="0">
      <selection activeCell="A41" sqref="A41"/>
    </sheetView>
  </sheetViews>
  <sheetFormatPr defaultColWidth="8.85546875" defaultRowHeight="15"/>
  <cols>
    <col min="1" max="1" width="53.28515625" bestFit="1" customWidth="1"/>
    <col min="2" max="2" width="150.42578125" customWidth="1"/>
  </cols>
  <sheetData>
    <row r="1" spans="1:2" ht="15.95">
      <c r="A1" s="119" t="s">
        <v>1056</v>
      </c>
      <c r="B1" s="120" t="s">
        <v>1057</v>
      </c>
    </row>
    <row r="2" spans="1:2">
      <c r="A2" t="s">
        <v>1058</v>
      </c>
      <c r="B2" t="s">
        <v>1059</v>
      </c>
    </row>
    <row r="3" spans="1:2">
      <c r="A3" t="s">
        <v>38</v>
      </c>
      <c r="B3" t="s">
        <v>1060</v>
      </c>
    </row>
    <row r="4" spans="1:2">
      <c r="A4" t="s">
        <v>1061</v>
      </c>
      <c r="B4" t="s">
        <v>1062</v>
      </c>
    </row>
    <row r="5" spans="1:2">
      <c r="A5" t="s">
        <v>47</v>
      </c>
      <c r="B5" t="s">
        <v>1063</v>
      </c>
    </row>
    <row r="6" spans="1:2">
      <c r="A6" t="s">
        <v>56</v>
      </c>
      <c r="B6" t="s">
        <v>1064</v>
      </c>
    </row>
    <row r="7" spans="1:2">
      <c r="A7" t="s">
        <v>1065</v>
      </c>
      <c r="B7" t="s">
        <v>1066</v>
      </c>
    </row>
    <row r="8" spans="1:2">
      <c r="A8" t="s">
        <v>1067</v>
      </c>
      <c r="B8" t="s">
        <v>1068</v>
      </c>
    </row>
    <row r="9" spans="1:2">
      <c r="A9" t="s">
        <v>1069</v>
      </c>
      <c r="B9" t="s">
        <v>1070</v>
      </c>
    </row>
    <row r="10" spans="1:2">
      <c r="A10" t="s">
        <v>1071</v>
      </c>
      <c r="B10" t="s">
        <v>1072</v>
      </c>
    </row>
    <row r="11" spans="1:2">
      <c r="A11" t="s">
        <v>1073</v>
      </c>
      <c r="B11" t="s">
        <v>1074</v>
      </c>
    </row>
    <row r="12" spans="1:2">
      <c r="A12" t="s">
        <v>21</v>
      </c>
      <c r="B12" t="s">
        <v>1075</v>
      </c>
    </row>
    <row r="13" spans="1:2">
      <c r="A13" t="s">
        <v>1076</v>
      </c>
      <c r="B13" t="s">
        <v>1077</v>
      </c>
    </row>
    <row r="14" spans="1:2">
      <c r="A14" t="s">
        <v>1078</v>
      </c>
      <c r="B14" t="s">
        <v>1079</v>
      </c>
    </row>
    <row r="15" spans="1:2">
      <c r="A15" t="s">
        <v>1080</v>
      </c>
      <c r="B15" t="s">
        <v>1081</v>
      </c>
    </row>
    <row r="16" spans="1:2">
      <c r="A16" t="s">
        <v>1082</v>
      </c>
      <c r="B16" t="s">
        <v>1083</v>
      </c>
    </row>
    <row r="17" spans="1:2">
      <c r="A17" t="s">
        <v>1084</v>
      </c>
      <c r="B17" t="s">
        <v>1085</v>
      </c>
    </row>
    <row r="18" spans="1:2">
      <c r="A18" t="s">
        <v>1086</v>
      </c>
      <c r="B18" t="s">
        <v>1087</v>
      </c>
    </row>
    <row r="19" spans="1:2">
      <c r="A19" t="s">
        <v>15</v>
      </c>
      <c r="B19" t="s">
        <v>1088</v>
      </c>
    </row>
    <row r="20" spans="1:2">
      <c r="A20" t="s">
        <v>18</v>
      </c>
      <c r="B20" t="s">
        <v>1089</v>
      </c>
    </row>
    <row r="21" spans="1:2">
      <c r="A21" t="s">
        <v>24</v>
      </c>
      <c r="B21" t="s">
        <v>1090</v>
      </c>
    </row>
    <row r="22" spans="1:2">
      <c r="A22" t="s">
        <v>1091</v>
      </c>
      <c r="B22" t="s">
        <v>1092</v>
      </c>
    </row>
    <row r="23" spans="1:2">
      <c r="A23" t="s">
        <v>1093</v>
      </c>
      <c r="B23" t="s">
        <v>1094</v>
      </c>
    </row>
    <row r="24" spans="1:2">
      <c r="A24" t="s">
        <v>1095</v>
      </c>
      <c r="B24" t="s">
        <v>1096</v>
      </c>
    </row>
    <row r="25" spans="1:2">
      <c r="A25" t="s">
        <v>1097</v>
      </c>
      <c r="B25" t="s">
        <v>1098</v>
      </c>
    </row>
    <row r="26" spans="1:2">
      <c r="A26" t="s">
        <v>1099</v>
      </c>
      <c r="B26" t="s">
        <v>1100</v>
      </c>
    </row>
    <row r="27" spans="1:2">
      <c r="A27" t="s">
        <v>1101</v>
      </c>
      <c r="B27" t="s">
        <v>1102</v>
      </c>
    </row>
    <row r="28" spans="1:2">
      <c r="A28" t="s">
        <v>1103</v>
      </c>
      <c r="B28" t="s">
        <v>1104</v>
      </c>
    </row>
    <row r="29" spans="1:2">
      <c r="A29" t="s">
        <v>1105</v>
      </c>
      <c r="B29" t="s">
        <v>1106</v>
      </c>
    </row>
    <row r="30" spans="1:2">
      <c r="A30" t="s">
        <v>1107</v>
      </c>
      <c r="B30" t="s">
        <v>1108</v>
      </c>
    </row>
    <row r="31" spans="1:2">
      <c r="A31" t="s">
        <v>1109</v>
      </c>
      <c r="B31" t="s">
        <v>1110</v>
      </c>
    </row>
    <row r="32" spans="1:2">
      <c r="A32" t="s">
        <v>1111</v>
      </c>
      <c r="B32" t="s">
        <v>1112</v>
      </c>
    </row>
    <row r="33" spans="1:2">
      <c r="A33" t="s">
        <v>1113</v>
      </c>
      <c r="B33" t="s">
        <v>1114</v>
      </c>
    </row>
    <row r="34" spans="1:2">
      <c r="A34" s="121" t="s">
        <v>65</v>
      </c>
      <c r="B34" t="s">
        <v>1115</v>
      </c>
    </row>
    <row r="35" spans="1:2">
      <c r="A35" s="121" t="s">
        <v>68</v>
      </c>
      <c r="B35" t="s">
        <v>1116</v>
      </c>
    </row>
    <row r="36" spans="1:2">
      <c r="A36" s="121" t="s">
        <v>71</v>
      </c>
      <c r="B36" t="s">
        <v>1117</v>
      </c>
    </row>
    <row r="37" spans="1:2">
      <c r="A37" s="121" t="s">
        <v>30</v>
      </c>
      <c r="B37" t="s">
        <v>1118</v>
      </c>
    </row>
    <row r="38" spans="1:2">
      <c r="A38" s="121" t="s">
        <v>27</v>
      </c>
      <c r="B38" t="s">
        <v>1119</v>
      </c>
    </row>
    <row r="39" spans="1:2">
      <c r="A39" s="121" t="s">
        <v>33</v>
      </c>
      <c r="B39" t="s">
        <v>1120</v>
      </c>
    </row>
    <row r="40" spans="1:2">
      <c r="A40" t="s">
        <v>1121</v>
      </c>
      <c r="B40" t="s">
        <v>1122</v>
      </c>
    </row>
    <row r="41" spans="1:2">
      <c r="A41" t="s">
        <v>1123</v>
      </c>
      <c r="B41" t="s">
        <v>1124</v>
      </c>
    </row>
    <row r="42" spans="1:2">
      <c r="A42" t="s">
        <v>1125</v>
      </c>
      <c r="B42" t="s">
        <v>1126</v>
      </c>
    </row>
    <row r="43" spans="1:2">
      <c r="A43" t="s">
        <v>1127</v>
      </c>
      <c r="B43" t="s">
        <v>1128</v>
      </c>
    </row>
    <row r="44" spans="1:2">
      <c r="A44" t="s">
        <v>1129</v>
      </c>
      <c r="B44" t="s">
        <v>1130</v>
      </c>
    </row>
    <row r="45" spans="1:2">
      <c r="A45" t="s">
        <v>1131</v>
      </c>
      <c r="B45" t="s">
        <v>1132</v>
      </c>
    </row>
    <row r="46" spans="1:2">
      <c r="A46" t="s">
        <v>1133</v>
      </c>
      <c r="B46" t="s">
        <v>1134</v>
      </c>
    </row>
    <row r="47" spans="1:2">
      <c r="A47" t="s">
        <v>1135</v>
      </c>
      <c r="B47" t="s">
        <v>1136</v>
      </c>
    </row>
    <row r="48" spans="1:2">
      <c r="A48" t="s">
        <v>1137</v>
      </c>
      <c r="B48" t="s">
        <v>1138</v>
      </c>
    </row>
    <row r="49" spans="1:2">
      <c r="A49" t="s">
        <v>1139</v>
      </c>
      <c r="B49" t="s">
        <v>1140</v>
      </c>
    </row>
    <row r="50" spans="1:2">
      <c r="A50" t="s">
        <v>1141</v>
      </c>
      <c r="B50" t="s">
        <v>1142</v>
      </c>
    </row>
    <row r="51" spans="1:2">
      <c r="A51" t="s">
        <v>1143</v>
      </c>
      <c r="B51" t="s">
        <v>1144</v>
      </c>
    </row>
    <row r="52" spans="1:2">
      <c r="A52" t="s">
        <v>1145</v>
      </c>
      <c r="B52" t="s">
        <v>1146</v>
      </c>
    </row>
    <row r="53" spans="1:2">
      <c r="A53" t="s">
        <v>1147</v>
      </c>
      <c r="B53" t="s">
        <v>1148</v>
      </c>
    </row>
    <row r="54" spans="1:2">
      <c r="A54" t="s">
        <v>1149</v>
      </c>
      <c r="B54" t="s">
        <v>1150</v>
      </c>
    </row>
    <row r="55" spans="1:2">
      <c r="A55" t="s">
        <v>1151</v>
      </c>
      <c r="B55" t="s">
        <v>1152</v>
      </c>
    </row>
    <row r="56" spans="1:2">
      <c r="A56" t="s">
        <v>1153</v>
      </c>
      <c r="B56" t="s">
        <v>1154</v>
      </c>
    </row>
    <row r="57" spans="1:2">
      <c r="A57" t="s">
        <v>1155</v>
      </c>
      <c r="B57" t="s">
        <v>1156</v>
      </c>
    </row>
    <row r="58" spans="1:2">
      <c r="A58" t="s">
        <v>1157</v>
      </c>
      <c r="B58" t="s">
        <v>1158</v>
      </c>
    </row>
    <row r="59" spans="1:2">
      <c r="A59" t="s">
        <v>1159</v>
      </c>
      <c r="B59" t="s">
        <v>1160</v>
      </c>
    </row>
    <row r="60" spans="1:2">
      <c r="A60" t="s">
        <v>1161</v>
      </c>
      <c r="B60" t="s">
        <v>1162</v>
      </c>
    </row>
    <row r="61" spans="1:2">
      <c r="A61" t="s">
        <v>1163</v>
      </c>
      <c r="B61" t="s">
        <v>1164</v>
      </c>
    </row>
    <row r="62" spans="1:2">
      <c r="A62" t="s">
        <v>1165</v>
      </c>
      <c r="B62" t="s">
        <v>1166</v>
      </c>
    </row>
    <row r="63" spans="1:2">
      <c r="A63" t="s">
        <v>1167</v>
      </c>
      <c r="B63" t="s">
        <v>1168</v>
      </c>
    </row>
    <row r="64" spans="1:2">
      <c r="A64" t="s">
        <v>1169</v>
      </c>
      <c r="B64" t="s">
        <v>1170</v>
      </c>
    </row>
    <row r="65" spans="1:2">
      <c r="A65" t="s">
        <v>1171</v>
      </c>
      <c r="B65" t="s">
        <v>1172</v>
      </c>
    </row>
    <row r="66" spans="1:2">
      <c r="A66" t="s">
        <v>1173</v>
      </c>
      <c r="B66" t="s">
        <v>1174</v>
      </c>
    </row>
    <row r="67" spans="1:2">
      <c r="A67" t="s">
        <v>1175</v>
      </c>
      <c r="B67" t="s">
        <v>1176</v>
      </c>
    </row>
    <row r="68" spans="1:2">
      <c r="A68" t="s">
        <v>1177</v>
      </c>
      <c r="B68" t="s">
        <v>1178</v>
      </c>
    </row>
    <row r="69" spans="1:2">
      <c r="A69" t="s">
        <v>1179</v>
      </c>
      <c r="B69" t="s">
        <v>1180</v>
      </c>
    </row>
    <row r="70" spans="1:2">
      <c r="A70" t="s">
        <v>1181</v>
      </c>
      <c r="B70" t="s">
        <v>1182</v>
      </c>
    </row>
    <row r="71" spans="1:2">
      <c r="A71" t="s">
        <v>1183</v>
      </c>
      <c r="B71" t="s">
        <v>1184</v>
      </c>
    </row>
    <row r="72" spans="1:2">
      <c r="A72" t="s">
        <v>1185</v>
      </c>
      <c r="B72" t="s">
        <v>1186</v>
      </c>
    </row>
    <row r="73" spans="1:2">
      <c r="A73" t="s">
        <v>1187</v>
      </c>
      <c r="B73" t="s">
        <v>1188</v>
      </c>
    </row>
    <row r="74" spans="1:2">
      <c r="A74" t="s">
        <v>1189</v>
      </c>
      <c r="B74" t="s">
        <v>1190</v>
      </c>
    </row>
    <row r="75" spans="1:2">
      <c r="A75" t="s">
        <v>1191</v>
      </c>
      <c r="B75" t="s">
        <v>1192</v>
      </c>
    </row>
    <row r="76" spans="1:2">
      <c r="A76" t="s">
        <v>1193</v>
      </c>
      <c r="B76" t="s">
        <v>1194</v>
      </c>
    </row>
    <row r="77" spans="1:2">
      <c r="A77" t="s">
        <v>1195</v>
      </c>
      <c r="B77" t="s">
        <v>1196</v>
      </c>
    </row>
    <row r="78" spans="1:2">
      <c r="A78" t="s">
        <v>1197</v>
      </c>
      <c r="B78" t="s">
        <v>1198</v>
      </c>
    </row>
    <row r="79" spans="1:2">
      <c r="A79" t="s">
        <v>1199</v>
      </c>
      <c r="B79" t="s">
        <v>1200</v>
      </c>
    </row>
    <row r="80" spans="1:2">
      <c r="A80" t="s">
        <v>1201</v>
      </c>
      <c r="B80" t="s">
        <v>1202</v>
      </c>
    </row>
    <row r="81" spans="1:2">
      <c r="A81" t="s">
        <v>1203</v>
      </c>
      <c r="B81" t="s">
        <v>1204</v>
      </c>
    </row>
    <row r="82" spans="1:2">
      <c r="A82" t="s">
        <v>1205</v>
      </c>
      <c r="B82" t="s">
        <v>1206</v>
      </c>
    </row>
    <row r="83" spans="1:2">
      <c r="A83" t="s">
        <v>1207</v>
      </c>
      <c r="B83" t="s">
        <v>1208</v>
      </c>
    </row>
    <row r="84" spans="1:2">
      <c r="A84" t="s">
        <v>1209</v>
      </c>
      <c r="B84" t="s">
        <v>1210</v>
      </c>
    </row>
    <row r="85" spans="1:2">
      <c r="A85" t="s">
        <v>1211</v>
      </c>
      <c r="B85" t="s">
        <v>1212</v>
      </c>
    </row>
    <row r="86" spans="1:2">
      <c r="A86" t="s">
        <v>1213</v>
      </c>
      <c r="B86" t="s">
        <v>1214</v>
      </c>
    </row>
    <row r="87" spans="1:2">
      <c r="A87" t="s">
        <v>76</v>
      </c>
      <c r="B87" t="s">
        <v>1215</v>
      </c>
    </row>
    <row r="88" spans="1:2">
      <c r="A88" t="s">
        <v>1216</v>
      </c>
      <c r="B88" t="s">
        <v>1217</v>
      </c>
    </row>
    <row r="89" spans="1:2">
      <c r="A89" t="s">
        <v>1218</v>
      </c>
      <c r="B89" t="s">
        <v>1219</v>
      </c>
    </row>
    <row r="90" spans="1:2">
      <c r="A90" t="s">
        <v>1220</v>
      </c>
      <c r="B90" t="s">
        <v>1221</v>
      </c>
    </row>
    <row r="91" spans="1:2">
      <c r="A91" t="s">
        <v>1222</v>
      </c>
      <c r="B91" t="s">
        <v>1223</v>
      </c>
    </row>
    <row r="92" spans="1:2">
      <c r="A92" t="s">
        <v>1224</v>
      </c>
      <c r="B92" t="s">
        <v>1225</v>
      </c>
    </row>
    <row r="93" spans="1:2">
      <c r="A93" t="s">
        <v>1226</v>
      </c>
      <c r="B93" t="s">
        <v>1227</v>
      </c>
    </row>
    <row r="94" spans="1:2">
      <c r="A94" t="s">
        <v>1228</v>
      </c>
      <c r="B94" t="s">
        <v>1229</v>
      </c>
    </row>
    <row r="95" spans="1:2">
      <c r="A95" t="s">
        <v>1230</v>
      </c>
      <c r="B95" t="s">
        <v>1231</v>
      </c>
    </row>
    <row r="96" spans="1:2">
      <c r="A96" t="s">
        <v>1232</v>
      </c>
      <c r="B96" t="s">
        <v>1233</v>
      </c>
    </row>
    <row r="97" spans="1:2">
      <c r="A97" t="s">
        <v>1234</v>
      </c>
      <c r="B97" t="s">
        <v>1235</v>
      </c>
    </row>
    <row r="98" spans="1:2">
      <c r="A98" t="s">
        <v>1236</v>
      </c>
      <c r="B98" t="s">
        <v>1237</v>
      </c>
    </row>
    <row r="99" spans="1:2">
      <c r="A99" t="s">
        <v>1238</v>
      </c>
      <c r="B99" t="s">
        <v>1239</v>
      </c>
    </row>
    <row r="100" spans="1:2">
      <c r="A100" t="s">
        <v>1240</v>
      </c>
      <c r="B100" t="s">
        <v>1241</v>
      </c>
    </row>
    <row r="101" spans="1:2">
      <c r="A101" t="s">
        <v>1242</v>
      </c>
      <c r="B101" t="s">
        <v>1243</v>
      </c>
    </row>
    <row r="102" spans="1:2">
      <c r="A102" t="s">
        <v>1244</v>
      </c>
      <c r="B102" t="s">
        <v>1245</v>
      </c>
    </row>
    <row r="103" spans="1:2">
      <c r="A103" t="s">
        <v>1246</v>
      </c>
      <c r="B103" t="s">
        <v>1247</v>
      </c>
    </row>
    <row r="104" spans="1:2">
      <c r="A104" t="s">
        <v>1248</v>
      </c>
      <c r="B104" t="s">
        <v>1249</v>
      </c>
    </row>
    <row r="105" spans="1:2">
      <c r="A105" t="s">
        <v>1250</v>
      </c>
      <c r="B105" t="s">
        <v>1251</v>
      </c>
    </row>
    <row r="106" spans="1:2">
      <c r="A106" t="s">
        <v>1252</v>
      </c>
      <c r="B106" t="s">
        <v>1253</v>
      </c>
    </row>
    <row r="107" spans="1:2">
      <c r="A107" t="s">
        <v>1254</v>
      </c>
      <c r="B107" t="s">
        <v>1255</v>
      </c>
    </row>
    <row r="108" spans="1:2">
      <c r="A108" t="s">
        <v>1256</v>
      </c>
      <c r="B108" t="s">
        <v>1257</v>
      </c>
    </row>
    <row r="109" spans="1:2">
      <c r="A109" t="s">
        <v>1258</v>
      </c>
      <c r="B109" t="s">
        <v>1259</v>
      </c>
    </row>
    <row r="110" spans="1:2">
      <c r="A110" t="s">
        <v>1260</v>
      </c>
      <c r="B110" t="s">
        <v>1261</v>
      </c>
    </row>
    <row r="111" spans="1:2">
      <c r="A111" t="s">
        <v>1262</v>
      </c>
      <c r="B111" t="s">
        <v>1263</v>
      </c>
    </row>
    <row r="112" spans="1:2">
      <c r="A112" t="s">
        <v>1264</v>
      </c>
      <c r="B112" t="s">
        <v>1265</v>
      </c>
    </row>
    <row r="113" spans="1:2">
      <c r="A113" t="s">
        <v>1266</v>
      </c>
      <c r="B113" t="s">
        <v>1267</v>
      </c>
    </row>
    <row r="114" spans="1:2">
      <c r="A114" t="s">
        <v>1268</v>
      </c>
      <c r="B114" t="s">
        <v>1269</v>
      </c>
    </row>
    <row r="115" spans="1:2">
      <c r="A115" t="s">
        <v>1270</v>
      </c>
      <c r="B115" t="s">
        <v>1271</v>
      </c>
    </row>
    <row r="116" spans="1:2">
      <c r="A116" t="s">
        <v>1272</v>
      </c>
      <c r="B116" t="s">
        <v>1273</v>
      </c>
    </row>
    <row r="117" spans="1:2">
      <c r="A117" t="s">
        <v>1274</v>
      </c>
      <c r="B117" t="s">
        <v>1275</v>
      </c>
    </row>
    <row r="118" spans="1:2">
      <c r="A118" t="s">
        <v>1276</v>
      </c>
      <c r="B118" t="s">
        <v>1277</v>
      </c>
    </row>
    <row r="119" spans="1:2">
      <c r="A119" t="s">
        <v>1278</v>
      </c>
      <c r="B119" t="s">
        <v>1279</v>
      </c>
    </row>
    <row r="120" spans="1:2">
      <c r="A120" t="s">
        <v>1280</v>
      </c>
      <c r="B120" t="s">
        <v>1281</v>
      </c>
    </row>
    <row r="121" spans="1:2">
      <c r="A121" t="s">
        <v>1282</v>
      </c>
      <c r="B121" t="s">
        <v>1283</v>
      </c>
    </row>
    <row r="122" spans="1:2">
      <c r="A122" t="s">
        <v>1284</v>
      </c>
      <c r="B122" t="s">
        <v>1285</v>
      </c>
    </row>
    <row r="123" spans="1:2">
      <c r="A123" t="s">
        <v>1286</v>
      </c>
      <c r="B123" t="s">
        <v>1287</v>
      </c>
    </row>
    <row r="124" spans="1:2">
      <c r="A124" t="s">
        <v>1288</v>
      </c>
      <c r="B124" t="s">
        <v>1289</v>
      </c>
    </row>
    <row r="125" spans="1:2">
      <c r="A125" t="s">
        <v>1290</v>
      </c>
      <c r="B125" t="s">
        <v>1291</v>
      </c>
    </row>
    <row r="126" spans="1:2">
      <c r="A126" t="s">
        <v>1292</v>
      </c>
      <c r="B126" t="s">
        <v>1293</v>
      </c>
    </row>
    <row r="127" spans="1:2">
      <c r="A127" t="s">
        <v>1294</v>
      </c>
      <c r="B127" t="s">
        <v>1295</v>
      </c>
    </row>
    <row r="128" spans="1:2">
      <c r="A128" t="s">
        <v>1296</v>
      </c>
      <c r="B128" t="s">
        <v>1297</v>
      </c>
    </row>
    <row r="129" spans="1:2">
      <c r="A129" t="s">
        <v>1298</v>
      </c>
      <c r="B129" t="s">
        <v>1299</v>
      </c>
    </row>
    <row r="130" spans="1:2">
      <c r="A130" t="s">
        <v>1300</v>
      </c>
      <c r="B130" t="s">
        <v>1301</v>
      </c>
    </row>
    <row r="131" spans="1:2">
      <c r="A131" t="s">
        <v>1302</v>
      </c>
      <c r="B131" t="s">
        <v>1303</v>
      </c>
    </row>
    <row r="132" spans="1:2">
      <c r="A132" t="s">
        <v>1304</v>
      </c>
      <c r="B132" t="s">
        <v>1305</v>
      </c>
    </row>
    <row r="133" spans="1:2">
      <c r="A133" t="s">
        <v>1306</v>
      </c>
      <c r="B133" t="s">
        <v>1307</v>
      </c>
    </row>
    <row r="134" spans="1:2">
      <c r="A134" t="s">
        <v>1308</v>
      </c>
      <c r="B134" t="s">
        <v>1309</v>
      </c>
    </row>
    <row r="135" spans="1:2">
      <c r="A135" t="s">
        <v>1310</v>
      </c>
      <c r="B135" t="s">
        <v>1311</v>
      </c>
    </row>
    <row r="136" spans="1:2">
      <c r="A136" t="s">
        <v>1312</v>
      </c>
      <c r="B136" t="s">
        <v>1313</v>
      </c>
    </row>
    <row r="137" spans="1:2">
      <c r="A137" t="s">
        <v>163</v>
      </c>
      <c r="B137" t="s">
        <v>1314</v>
      </c>
    </row>
    <row r="138" spans="1:2">
      <c r="A138" t="s">
        <v>1315</v>
      </c>
      <c r="B138" t="s">
        <v>1316</v>
      </c>
    </row>
    <row r="139" spans="1:2">
      <c r="A139" t="s">
        <v>1317</v>
      </c>
      <c r="B139" t="s">
        <v>1318</v>
      </c>
    </row>
    <row r="140" spans="1:2">
      <c r="A140" t="s">
        <v>1319</v>
      </c>
      <c r="B140" t="s">
        <v>1320</v>
      </c>
    </row>
    <row r="141" spans="1:2">
      <c r="A141" t="s">
        <v>1321</v>
      </c>
      <c r="B141" t="s">
        <v>1322</v>
      </c>
    </row>
    <row r="142" spans="1:2">
      <c r="A142" t="s">
        <v>1323</v>
      </c>
      <c r="B142" t="s">
        <v>1324</v>
      </c>
    </row>
    <row r="143" spans="1:2">
      <c r="A143" t="s">
        <v>1325</v>
      </c>
      <c r="B143" t="s">
        <v>1326</v>
      </c>
    </row>
    <row r="144" spans="1:2">
      <c r="A144" t="s">
        <v>1327</v>
      </c>
      <c r="B144" t="s">
        <v>1328</v>
      </c>
    </row>
    <row r="145" spans="1:2">
      <c r="A145" t="s">
        <v>1329</v>
      </c>
      <c r="B145" t="s">
        <v>1330</v>
      </c>
    </row>
    <row r="146" spans="1:2">
      <c r="A146" t="s">
        <v>166</v>
      </c>
      <c r="B146" t="s">
        <v>1331</v>
      </c>
    </row>
    <row r="147" spans="1:2">
      <c r="A147" t="s">
        <v>168</v>
      </c>
      <c r="B147" t="s">
        <v>1332</v>
      </c>
    </row>
    <row r="148" spans="1:2">
      <c r="A148" t="s">
        <v>1333</v>
      </c>
      <c r="B148" t="s">
        <v>1334</v>
      </c>
    </row>
    <row r="149" spans="1:2">
      <c r="A149" t="s">
        <v>1335</v>
      </c>
      <c r="B149" t="s">
        <v>1336</v>
      </c>
    </row>
    <row r="150" spans="1:2">
      <c r="A150" t="s">
        <v>1337</v>
      </c>
      <c r="B150" t="s">
        <v>1338</v>
      </c>
    </row>
    <row r="151" spans="1:2">
      <c r="A151" t="s">
        <v>1339</v>
      </c>
      <c r="B151" t="s">
        <v>1340</v>
      </c>
    </row>
    <row r="152" spans="1:2">
      <c r="A152" t="s">
        <v>1341</v>
      </c>
      <c r="B152" t="s">
        <v>1342</v>
      </c>
    </row>
    <row r="153" spans="1:2">
      <c r="A153" t="s">
        <v>1343</v>
      </c>
      <c r="B153" t="s">
        <v>1344</v>
      </c>
    </row>
    <row r="154" spans="1:2">
      <c r="A154" t="s">
        <v>1345</v>
      </c>
      <c r="B154" t="s">
        <v>1346</v>
      </c>
    </row>
    <row r="155" spans="1:2">
      <c r="A155" t="s">
        <v>1347</v>
      </c>
      <c r="B155" t="s">
        <v>1348</v>
      </c>
    </row>
    <row r="156" spans="1:2">
      <c r="A156" t="s">
        <v>1349</v>
      </c>
      <c r="B156" t="s">
        <v>1350</v>
      </c>
    </row>
    <row r="157" spans="1:2">
      <c r="A157" t="s">
        <v>1351</v>
      </c>
      <c r="B157" t="s">
        <v>1352</v>
      </c>
    </row>
    <row r="158" spans="1:2">
      <c r="A158" t="s">
        <v>1353</v>
      </c>
      <c r="B158" t="s">
        <v>1354</v>
      </c>
    </row>
    <row r="159" spans="1:2">
      <c r="A159" t="s">
        <v>1355</v>
      </c>
      <c r="B159" t="s">
        <v>1356</v>
      </c>
    </row>
    <row r="160" spans="1:2">
      <c r="A160" t="s">
        <v>1357</v>
      </c>
      <c r="B160" t="s">
        <v>1358</v>
      </c>
    </row>
    <row r="161" spans="1:2">
      <c r="A161" t="s">
        <v>1359</v>
      </c>
      <c r="B161" t="s">
        <v>1360</v>
      </c>
    </row>
    <row r="162" spans="1:2">
      <c r="A162" t="s">
        <v>1361</v>
      </c>
      <c r="B162" t="s">
        <v>1362</v>
      </c>
    </row>
    <row r="163" spans="1:2">
      <c r="A163" t="s">
        <v>1363</v>
      </c>
      <c r="B163" t="s">
        <v>1364</v>
      </c>
    </row>
    <row r="164" spans="1:2">
      <c r="A164" t="s">
        <v>1365</v>
      </c>
      <c r="B164" t="s">
        <v>1366</v>
      </c>
    </row>
    <row r="165" spans="1:2">
      <c r="A165" t="s">
        <v>1367</v>
      </c>
      <c r="B165" t="s">
        <v>1368</v>
      </c>
    </row>
    <row r="166" spans="1:2">
      <c r="A166" t="s">
        <v>1369</v>
      </c>
      <c r="B166" t="s">
        <v>1370</v>
      </c>
    </row>
    <row r="167" spans="1:2">
      <c r="A167" t="s">
        <v>1371</v>
      </c>
      <c r="B167" t="s">
        <v>1372</v>
      </c>
    </row>
    <row r="168" spans="1:2">
      <c r="A168" t="s">
        <v>1373</v>
      </c>
      <c r="B168" t="s">
        <v>1374</v>
      </c>
    </row>
    <row r="169" spans="1:2">
      <c r="A169" t="s">
        <v>1375</v>
      </c>
      <c r="B169" t="s">
        <v>1376</v>
      </c>
    </row>
    <row r="170" spans="1:2">
      <c r="A170" t="s">
        <v>1377</v>
      </c>
      <c r="B170" t="s">
        <v>1378</v>
      </c>
    </row>
    <row r="171" spans="1:2">
      <c r="A171" t="s">
        <v>1379</v>
      </c>
      <c r="B171" t="s">
        <v>1380</v>
      </c>
    </row>
    <row r="172" spans="1:2">
      <c r="A172" t="s">
        <v>1381</v>
      </c>
      <c r="B172" t="s">
        <v>1382</v>
      </c>
    </row>
    <row r="173" spans="1:2">
      <c r="A173" t="s">
        <v>1383</v>
      </c>
      <c r="B173" t="s">
        <v>1384</v>
      </c>
    </row>
    <row r="174" spans="1:2">
      <c r="A174" t="s">
        <v>1385</v>
      </c>
      <c r="B174" t="s">
        <v>1386</v>
      </c>
    </row>
    <row r="175" spans="1:2">
      <c r="A175" t="s">
        <v>1387</v>
      </c>
      <c r="B175" t="s">
        <v>1388</v>
      </c>
    </row>
    <row r="176" spans="1:2">
      <c r="A176" t="s">
        <v>1389</v>
      </c>
      <c r="B176" t="s">
        <v>1390</v>
      </c>
    </row>
    <row r="177" spans="1:2">
      <c r="A177" t="s">
        <v>1391</v>
      </c>
      <c r="B177" t="s">
        <v>1392</v>
      </c>
    </row>
    <row r="178" spans="1:2">
      <c r="A178" t="s">
        <v>1393</v>
      </c>
      <c r="B178" t="s">
        <v>1394</v>
      </c>
    </row>
    <row r="179" spans="1:2">
      <c r="A179" t="s">
        <v>1395</v>
      </c>
      <c r="B179" t="s">
        <v>1396</v>
      </c>
    </row>
    <row r="180" spans="1:2">
      <c r="A180" t="s">
        <v>1397</v>
      </c>
      <c r="B180" t="s">
        <v>1398</v>
      </c>
    </row>
    <row r="181" spans="1:2">
      <c r="A181" t="s">
        <v>1399</v>
      </c>
      <c r="B181" t="s">
        <v>1400</v>
      </c>
    </row>
    <row r="182" spans="1:2">
      <c r="A182" t="s">
        <v>1401</v>
      </c>
      <c r="B182" t="s">
        <v>1402</v>
      </c>
    </row>
    <row r="183" spans="1:2">
      <c r="A183" t="s">
        <v>1403</v>
      </c>
      <c r="B183" t="s">
        <v>1404</v>
      </c>
    </row>
    <row r="184" spans="1:2">
      <c r="A184" t="s">
        <v>1405</v>
      </c>
      <c r="B184" t="s">
        <v>1406</v>
      </c>
    </row>
    <row r="185" spans="1:2">
      <c r="A185" t="s">
        <v>1407</v>
      </c>
      <c r="B185" t="s">
        <v>1408</v>
      </c>
    </row>
    <row r="186" spans="1:2">
      <c r="A186" t="s">
        <v>1409</v>
      </c>
      <c r="B186" t="s">
        <v>1410</v>
      </c>
    </row>
    <row r="187" spans="1:2">
      <c r="A187" t="s">
        <v>1411</v>
      </c>
      <c r="B187" t="s">
        <v>1412</v>
      </c>
    </row>
    <row r="188" spans="1:2">
      <c r="A188" t="s">
        <v>1413</v>
      </c>
      <c r="B188" t="s">
        <v>1414</v>
      </c>
    </row>
    <row r="189" spans="1:2">
      <c r="A189" t="s">
        <v>1415</v>
      </c>
      <c r="B189" t="s">
        <v>1416</v>
      </c>
    </row>
    <row r="190" spans="1:2">
      <c r="A190" t="s">
        <v>1417</v>
      </c>
      <c r="B190" t="s">
        <v>1418</v>
      </c>
    </row>
    <row r="191" spans="1:2">
      <c r="A191" t="s">
        <v>1419</v>
      </c>
      <c r="B191" t="s">
        <v>1420</v>
      </c>
    </row>
    <row r="192" spans="1:2">
      <c r="A192" t="s">
        <v>1421</v>
      </c>
      <c r="B192" t="s">
        <v>1422</v>
      </c>
    </row>
    <row r="193" spans="1:2">
      <c r="A193" t="s">
        <v>1423</v>
      </c>
      <c r="B193" t="s">
        <v>1424</v>
      </c>
    </row>
    <row r="194" spans="1:2">
      <c r="A194" t="s">
        <v>1425</v>
      </c>
      <c r="B194" t="s">
        <v>1426</v>
      </c>
    </row>
    <row r="195" spans="1:2">
      <c r="A195" t="s">
        <v>1427</v>
      </c>
      <c r="B195" t="s">
        <v>1428</v>
      </c>
    </row>
    <row r="196" spans="1:2">
      <c r="A196" t="s">
        <v>1429</v>
      </c>
      <c r="B196" t="s">
        <v>1430</v>
      </c>
    </row>
    <row r="197" spans="1:2">
      <c r="A197" t="s">
        <v>1431</v>
      </c>
      <c r="B197" t="s">
        <v>1432</v>
      </c>
    </row>
    <row r="198" spans="1:2">
      <c r="A198" t="s">
        <v>61</v>
      </c>
      <c r="B198" t="s">
        <v>1433</v>
      </c>
    </row>
    <row r="199" spans="1:2">
      <c r="A199" t="s">
        <v>1434</v>
      </c>
      <c r="B199" t="s">
        <v>1435</v>
      </c>
    </row>
    <row r="200" spans="1:2">
      <c r="A200" t="s">
        <v>1436</v>
      </c>
      <c r="B200" t="s">
        <v>1437</v>
      </c>
    </row>
    <row r="201" spans="1:2">
      <c r="A201" t="s">
        <v>1438</v>
      </c>
      <c r="B201" t="s">
        <v>1439</v>
      </c>
    </row>
    <row r="202" spans="1:2">
      <c r="A202" t="s">
        <v>1440</v>
      </c>
      <c r="B202" t="s">
        <v>1441</v>
      </c>
    </row>
    <row r="203" spans="1:2">
      <c r="A203" t="s">
        <v>1442</v>
      </c>
      <c r="B203" t="s">
        <v>1443</v>
      </c>
    </row>
    <row r="204" spans="1:2">
      <c r="A204" t="s">
        <v>1444</v>
      </c>
      <c r="B204" t="s">
        <v>1445</v>
      </c>
    </row>
    <row r="205" spans="1:2">
      <c r="A205" t="s">
        <v>1446</v>
      </c>
      <c r="B205" t="s">
        <v>1447</v>
      </c>
    </row>
    <row r="206" spans="1:2">
      <c r="A206" t="s">
        <v>1448</v>
      </c>
      <c r="B206" t="s">
        <v>1449</v>
      </c>
    </row>
    <row r="207" spans="1:2">
      <c r="A207" t="s">
        <v>1450</v>
      </c>
      <c r="B207" t="s">
        <v>1451</v>
      </c>
    </row>
    <row r="208" spans="1:2">
      <c r="A208" t="s">
        <v>1452</v>
      </c>
      <c r="B208" t="s">
        <v>1453</v>
      </c>
    </row>
    <row r="209" spans="1:2">
      <c r="A209" t="s">
        <v>1454</v>
      </c>
      <c r="B209" t="s">
        <v>1455</v>
      </c>
    </row>
    <row r="210" spans="1:2">
      <c r="A210" t="s">
        <v>1456</v>
      </c>
      <c r="B210" t="s">
        <v>1457</v>
      </c>
    </row>
    <row r="211" spans="1:2">
      <c r="A211" t="s">
        <v>1458</v>
      </c>
      <c r="B211" t="s">
        <v>1459</v>
      </c>
    </row>
    <row r="212" spans="1:2">
      <c r="A212" t="s">
        <v>1460</v>
      </c>
      <c r="B212" t="s">
        <v>1461</v>
      </c>
    </row>
    <row r="213" spans="1:2">
      <c r="A213" t="s">
        <v>1462</v>
      </c>
      <c r="B213" t="s">
        <v>1463</v>
      </c>
    </row>
    <row r="214" spans="1:2">
      <c r="A214" t="s">
        <v>1464</v>
      </c>
      <c r="B214" t="s">
        <v>1465</v>
      </c>
    </row>
    <row r="215" spans="1:2">
      <c r="A215" t="s">
        <v>1466</v>
      </c>
      <c r="B215" t="s">
        <v>1467</v>
      </c>
    </row>
    <row r="216" spans="1:2">
      <c r="A216" t="s">
        <v>1468</v>
      </c>
      <c r="B216" t="s">
        <v>1469</v>
      </c>
    </row>
    <row r="217" spans="1:2">
      <c r="A217" t="s">
        <v>1470</v>
      </c>
      <c r="B217" t="s">
        <v>1471</v>
      </c>
    </row>
    <row r="218" spans="1:2">
      <c r="A218" t="s">
        <v>1472</v>
      </c>
      <c r="B218" t="s">
        <v>1473</v>
      </c>
    </row>
    <row r="219" spans="1:2">
      <c r="A219" t="s">
        <v>1474</v>
      </c>
      <c r="B219" t="s">
        <v>1475</v>
      </c>
    </row>
    <row r="220" spans="1:2">
      <c r="A220" t="s">
        <v>1476</v>
      </c>
      <c r="B220" t="s">
        <v>1477</v>
      </c>
    </row>
    <row r="221" spans="1:2">
      <c r="A221" t="s">
        <v>1478</v>
      </c>
      <c r="B221" t="s">
        <v>1479</v>
      </c>
    </row>
    <row r="222" spans="1:2">
      <c r="A222" t="s">
        <v>1480</v>
      </c>
      <c r="B222" t="s">
        <v>1481</v>
      </c>
    </row>
    <row r="223" spans="1:2">
      <c r="A223" t="s">
        <v>1482</v>
      </c>
      <c r="B223" t="s">
        <v>1483</v>
      </c>
    </row>
    <row r="224" spans="1:2">
      <c r="A224" t="s">
        <v>1484</v>
      </c>
      <c r="B224" t="s">
        <v>1485</v>
      </c>
    </row>
    <row r="225" spans="1:2">
      <c r="A225" t="s">
        <v>1486</v>
      </c>
      <c r="B225" t="s">
        <v>1487</v>
      </c>
    </row>
    <row r="226" spans="1:2">
      <c r="A226" t="s">
        <v>1488</v>
      </c>
      <c r="B226" t="s">
        <v>1489</v>
      </c>
    </row>
    <row r="227" spans="1:2">
      <c r="A227" t="s">
        <v>1490</v>
      </c>
      <c r="B227" t="s">
        <v>1491</v>
      </c>
    </row>
    <row r="228" spans="1:2">
      <c r="A228" t="s">
        <v>1492</v>
      </c>
      <c r="B228" t="s">
        <v>1493</v>
      </c>
    </row>
    <row r="229" spans="1:2">
      <c r="A229" t="s">
        <v>1494</v>
      </c>
      <c r="B229" t="s">
        <v>1495</v>
      </c>
    </row>
    <row r="230" spans="1:2">
      <c r="A230" t="s">
        <v>1496</v>
      </c>
      <c r="B230" t="s">
        <v>1497</v>
      </c>
    </row>
    <row r="231" spans="1:2">
      <c r="A231" t="s">
        <v>1498</v>
      </c>
      <c r="B231" t="s">
        <v>1499</v>
      </c>
    </row>
    <row r="232" spans="1:2">
      <c r="A232" t="s">
        <v>1500</v>
      </c>
      <c r="B232" t="s">
        <v>1501</v>
      </c>
    </row>
    <row r="233" spans="1:2">
      <c r="A233" t="s">
        <v>1502</v>
      </c>
      <c r="B233" t="s">
        <v>1503</v>
      </c>
    </row>
    <row r="234" spans="1:2">
      <c r="A234" t="s">
        <v>1504</v>
      </c>
      <c r="B234" s="121" t="s">
        <v>63</v>
      </c>
    </row>
    <row r="235" spans="1:2">
      <c r="A235" t="s">
        <v>1505</v>
      </c>
      <c r="B235" s="121" t="s">
        <v>1506</v>
      </c>
    </row>
    <row r="236" spans="1:2">
      <c r="A236" t="s">
        <v>1507</v>
      </c>
      <c r="B236" s="121" t="s">
        <v>1508</v>
      </c>
    </row>
    <row r="237" spans="1:2">
      <c r="A237" t="s">
        <v>1509</v>
      </c>
      <c r="B237" s="121" t="s">
        <v>1510</v>
      </c>
    </row>
    <row r="238" spans="1:2">
      <c r="A238" t="s">
        <v>1511</v>
      </c>
      <c r="B238" s="121" t="s">
        <v>1512</v>
      </c>
    </row>
    <row r="239" spans="1:2">
      <c r="A239" t="s">
        <v>1513</v>
      </c>
      <c r="B239" s="121" t="s">
        <v>1514</v>
      </c>
    </row>
    <row r="240" spans="1:2">
      <c r="A240" t="s">
        <v>1515</v>
      </c>
      <c r="B240" s="121" t="s">
        <v>1516</v>
      </c>
    </row>
    <row r="241" spans="1:2">
      <c r="A241" t="s">
        <v>1517</v>
      </c>
      <c r="B241" s="121" t="s">
        <v>1518</v>
      </c>
    </row>
    <row r="242" spans="1:2">
      <c r="A242" t="s">
        <v>1519</v>
      </c>
      <c r="B242" s="121" t="s">
        <v>1520</v>
      </c>
    </row>
    <row r="243" spans="1:2">
      <c r="A243" t="s">
        <v>1521</v>
      </c>
      <c r="B243" s="121" t="s">
        <v>1522</v>
      </c>
    </row>
    <row r="244" spans="1:2">
      <c r="A244" t="s">
        <v>1523</v>
      </c>
      <c r="B244" s="121" t="s">
        <v>1524</v>
      </c>
    </row>
    <row r="245" spans="1:2">
      <c r="A245" t="s">
        <v>1525</v>
      </c>
      <c r="B245" s="121" t="s">
        <v>1526</v>
      </c>
    </row>
    <row r="246" spans="1:2">
      <c r="A246" t="s">
        <v>1527</v>
      </c>
      <c r="B246" s="121" t="s">
        <v>1528</v>
      </c>
    </row>
    <row r="247" spans="1:2">
      <c r="A247" t="s">
        <v>1529</v>
      </c>
      <c r="B247" s="121" t="s">
        <v>1530</v>
      </c>
    </row>
    <row r="248" spans="1:2">
      <c r="A248" t="s">
        <v>1531</v>
      </c>
      <c r="B248" s="121" t="s">
        <v>1532</v>
      </c>
    </row>
    <row r="249" spans="1:2">
      <c r="A249" t="s">
        <v>1533</v>
      </c>
      <c r="B249" s="121" t="s">
        <v>1534</v>
      </c>
    </row>
    <row r="250" spans="1:2">
      <c r="A250" t="s">
        <v>1535</v>
      </c>
      <c r="B250" s="121" t="s">
        <v>1536</v>
      </c>
    </row>
    <row r="251" spans="1:2">
      <c r="A251" t="s">
        <v>1537</v>
      </c>
      <c r="B251" s="121" t="s">
        <v>1538</v>
      </c>
    </row>
    <row r="252" spans="1:2">
      <c r="A252" t="s">
        <v>1539</v>
      </c>
      <c r="B252" s="121" t="s">
        <v>1540</v>
      </c>
    </row>
    <row r="253" spans="1:2">
      <c r="A253" t="s">
        <v>1541</v>
      </c>
      <c r="B253" s="121" t="s">
        <v>1542</v>
      </c>
    </row>
    <row r="254" spans="1:2">
      <c r="A254" t="s">
        <v>1543</v>
      </c>
      <c r="B254" s="121" t="s">
        <v>1544</v>
      </c>
    </row>
    <row r="255" spans="1:2">
      <c r="A255" t="s">
        <v>1545</v>
      </c>
      <c r="B255" s="121" t="s">
        <v>1546</v>
      </c>
    </row>
    <row r="256" spans="1:2">
      <c r="A256" t="s">
        <v>1547</v>
      </c>
      <c r="B256" s="121" t="s">
        <v>1548</v>
      </c>
    </row>
    <row r="257" spans="1:2">
      <c r="A257" t="s">
        <v>1549</v>
      </c>
      <c r="B257" s="121" t="s">
        <v>1550</v>
      </c>
    </row>
    <row r="258" spans="1:2">
      <c r="A258" t="s">
        <v>1551</v>
      </c>
      <c r="B258" s="121" t="s">
        <v>1552</v>
      </c>
    </row>
    <row r="259" spans="1:2">
      <c r="A259" t="s">
        <v>1553</v>
      </c>
      <c r="B259" s="121" t="s">
        <v>1554</v>
      </c>
    </row>
    <row r="260" spans="1:2">
      <c r="A260" t="s">
        <v>1555</v>
      </c>
      <c r="B260" s="121" t="s">
        <v>1556</v>
      </c>
    </row>
    <row r="261" spans="1:2">
      <c r="A261" t="s">
        <v>1557</v>
      </c>
      <c r="B261" s="121" t="s">
        <v>1558</v>
      </c>
    </row>
    <row r="262" spans="1:2">
      <c r="A262" t="s">
        <v>1559</v>
      </c>
      <c r="B262" s="121" t="s">
        <v>1560</v>
      </c>
    </row>
    <row r="263" spans="1:2">
      <c r="A263" t="s">
        <v>1561</v>
      </c>
      <c r="B263" s="121" t="s">
        <v>1562</v>
      </c>
    </row>
    <row r="264" spans="1:2">
      <c r="A264" t="s">
        <v>1563</v>
      </c>
      <c r="B264" s="121" t="s">
        <v>1564</v>
      </c>
    </row>
    <row r="265" spans="1:2">
      <c r="A265" t="s">
        <v>1565</v>
      </c>
      <c r="B265" s="121" t="s">
        <v>1566</v>
      </c>
    </row>
    <row r="266" spans="1:2">
      <c r="A266" t="s">
        <v>1567</v>
      </c>
      <c r="B266" s="121" t="s">
        <v>1568</v>
      </c>
    </row>
    <row r="267" spans="1:2">
      <c r="A267" t="s">
        <v>1569</v>
      </c>
      <c r="B267" s="121" t="s">
        <v>1570</v>
      </c>
    </row>
    <row r="268" spans="1:2">
      <c r="A268" t="s">
        <v>1571</v>
      </c>
      <c r="B268" s="121" t="s">
        <v>1572</v>
      </c>
    </row>
    <row r="269" spans="1:2">
      <c r="A269" t="s">
        <v>1573</v>
      </c>
      <c r="B269" s="121" t="s">
        <v>1574</v>
      </c>
    </row>
    <row r="270" spans="1:2">
      <c r="A270" t="s">
        <v>1575</v>
      </c>
      <c r="B270" s="121" t="s">
        <v>1576</v>
      </c>
    </row>
    <row r="271" spans="1:2">
      <c r="A271" t="s">
        <v>1577</v>
      </c>
      <c r="B271" s="121" t="s">
        <v>1578</v>
      </c>
    </row>
    <row r="272" spans="1:2">
      <c r="A272" t="s">
        <v>1579</v>
      </c>
      <c r="B272" s="121" t="s">
        <v>1580</v>
      </c>
    </row>
    <row r="273" spans="1:2">
      <c r="A273" t="s">
        <v>1581</v>
      </c>
      <c r="B273" s="121" t="s">
        <v>1582</v>
      </c>
    </row>
    <row r="274" spans="1:2">
      <c r="A274" t="s">
        <v>1583</v>
      </c>
      <c r="B274" s="121" t="s">
        <v>1584</v>
      </c>
    </row>
    <row r="275" spans="1:2">
      <c r="A275" t="s">
        <v>1585</v>
      </c>
      <c r="B275" s="121" t="s">
        <v>1586</v>
      </c>
    </row>
    <row r="276" spans="1:2">
      <c r="A276" t="s">
        <v>1587</v>
      </c>
      <c r="B276" s="121" t="s">
        <v>1588</v>
      </c>
    </row>
    <row r="277" spans="1:2">
      <c r="A277" t="s">
        <v>1589</v>
      </c>
      <c r="B277" s="121" t="s">
        <v>1590</v>
      </c>
    </row>
    <row r="278" spans="1:2">
      <c r="B278" s="121" t="s">
        <v>1591</v>
      </c>
    </row>
    <row r="279" spans="1:2">
      <c r="B279" s="121" t="s">
        <v>1592</v>
      </c>
    </row>
    <row r="280" spans="1:2">
      <c r="B280" s="121" t="s">
        <v>1593</v>
      </c>
    </row>
    <row r="281" spans="1:2">
      <c r="B281" s="121" t="s">
        <v>1594</v>
      </c>
    </row>
    <row r="282" spans="1:2">
      <c r="B282" s="121" t="s">
        <v>1595</v>
      </c>
    </row>
    <row r="283" spans="1:2">
      <c r="B283" s="121" t="s">
        <v>1596</v>
      </c>
    </row>
    <row r="284" spans="1:2">
      <c r="B284" s="121" t="s">
        <v>1597</v>
      </c>
    </row>
    <row r="285" spans="1:2">
      <c r="B285" s="121" t="s">
        <v>1598</v>
      </c>
    </row>
    <row r="286" spans="1:2">
      <c r="B286" s="121" t="s">
        <v>1599</v>
      </c>
    </row>
    <row r="287" spans="1:2">
      <c r="B287" s="121" t="s">
        <v>1600</v>
      </c>
    </row>
    <row r="288" spans="1:2">
      <c r="B288" s="121" t="s">
        <v>1601</v>
      </c>
    </row>
    <row r="289" spans="2:2">
      <c r="B289" s="121" t="s">
        <v>1602</v>
      </c>
    </row>
    <row r="290" spans="2:2">
      <c r="B290" s="121" t="s">
        <v>1603</v>
      </c>
    </row>
    <row r="291" spans="2:2">
      <c r="B291" s="121" t="s">
        <v>1604</v>
      </c>
    </row>
    <row r="292" spans="2:2">
      <c r="B292" s="121" t="s">
        <v>1605</v>
      </c>
    </row>
    <row r="293" spans="2:2">
      <c r="B293" s="121" t="s">
        <v>1606</v>
      </c>
    </row>
    <row r="294" spans="2:2">
      <c r="B294" s="121" t="s">
        <v>1607</v>
      </c>
    </row>
    <row r="295" spans="2:2">
      <c r="B295" s="121" t="s">
        <v>1608</v>
      </c>
    </row>
    <row r="296" spans="2:2">
      <c r="B296" s="121" t="s">
        <v>1609</v>
      </c>
    </row>
    <row r="297" spans="2:2">
      <c r="B297" s="121" t="s">
        <v>1610</v>
      </c>
    </row>
    <row r="298" spans="2:2">
      <c r="B298" s="121" t="s">
        <v>1611</v>
      </c>
    </row>
    <row r="299" spans="2:2">
      <c r="B299" s="121" t="s">
        <v>1612</v>
      </c>
    </row>
    <row r="300" spans="2:2">
      <c r="B300" s="121" t="s">
        <v>1613</v>
      </c>
    </row>
    <row r="301" spans="2:2">
      <c r="B301" s="121" t="s">
        <v>1614</v>
      </c>
    </row>
    <row r="302" spans="2:2">
      <c r="B302" s="121" t="s">
        <v>1615</v>
      </c>
    </row>
    <row r="303" spans="2:2">
      <c r="B303" t="s">
        <v>1616</v>
      </c>
    </row>
    <row r="304" spans="2:2">
      <c r="B304" t="s">
        <v>1617</v>
      </c>
    </row>
    <row r="305" spans="2:2">
      <c r="B305" t="s">
        <v>1618</v>
      </c>
    </row>
    <row r="306" spans="2:2">
      <c r="B306" t="s">
        <v>1619</v>
      </c>
    </row>
    <row r="307" spans="2:2">
      <c r="B307" t="s">
        <v>1620</v>
      </c>
    </row>
    <row r="308" spans="2:2">
      <c r="B308" t="s">
        <v>1621</v>
      </c>
    </row>
    <row r="309" spans="2:2">
      <c r="B309" t="s">
        <v>1622</v>
      </c>
    </row>
    <row r="310" spans="2:2">
      <c r="B310" t="s">
        <v>1623</v>
      </c>
    </row>
    <row r="311" spans="2:2">
      <c r="B311" t="s">
        <v>1624</v>
      </c>
    </row>
    <row r="312" spans="2:2">
      <c r="B312" t="s">
        <v>1625</v>
      </c>
    </row>
    <row r="313" spans="2:2">
      <c r="B313" t="s">
        <v>1626</v>
      </c>
    </row>
    <row r="314" spans="2:2">
      <c r="B314" t="s">
        <v>1627</v>
      </c>
    </row>
    <row r="315" spans="2:2">
      <c r="B315" t="s">
        <v>1628</v>
      </c>
    </row>
    <row r="316" spans="2:2">
      <c r="B316" t="s">
        <v>1629</v>
      </c>
    </row>
    <row r="317" spans="2:2">
      <c r="B317" t="s">
        <v>1630</v>
      </c>
    </row>
    <row r="318" spans="2:2">
      <c r="B318" t="s">
        <v>1631</v>
      </c>
    </row>
    <row r="319" spans="2:2">
      <c r="B319" t="s">
        <v>1632</v>
      </c>
    </row>
    <row r="320" spans="2:2">
      <c r="B320" t="s">
        <v>1633</v>
      </c>
    </row>
    <row r="321" spans="2:2">
      <c r="B321" t="s">
        <v>1634</v>
      </c>
    </row>
    <row r="322" spans="2:2">
      <c r="B322" t="s">
        <v>1635</v>
      </c>
    </row>
    <row r="323" spans="2:2">
      <c r="B323" t="s">
        <v>1636</v>
      </c>
    </row>
    <row r="324" spans="2:2">
      <c r="B324" t="s">
        <v>1637</v>
      </c>
    </row>
    <row r="325" spans="2:2">
      <c r="B325" t="s">
        <v>1638</v>
      </c>
    </row>
    <row r="326" spans="2:2">
      <c r="B326" t="s">
        <v>1639</v>
      </c>
    </row>
    <row r="327" spans="2:2">
      <c r="B327" t="s">
        <v>1640</v>
      </c>
    </row>
    <row r="328" spans="2:2">
      <c r="B328" t="s">
        <v>1641</v>
      </c>
    </row>
    <row r="329" spans="2:2">
      <c r="B329" t="s">
        <v>1642</v>
      </c>
    </row>
    <row r="330" spans="2:2">
      <c r="B330" t="s">
        <v>1643</v>
      </c>
    </row>
    <row r="331" spans="2:2">
      <c r="B331" t="s">
        <v>1644</v>
      </c>
    </row>
    <row r="332" spans="2:2">
      <c r="B332" t="s">
        <v>1645</v>
      </c>
    </row>
    <row r="333" spans="2:2">
      <c r="B333" t="s">
        <v>1646</v>
      </c>
    </row>
    <row r="334" spans="2:2">
      <c r="B334" t="s">
        <v>1647</v>
      </c>
    </row>
    <row r="335" spans="2:2">
      <c r="B335" t="s">
        <v>1648</v>
      </c>
    </row>
    <row r="336" spans="2:2">
      <c r="B336" t="s">
        <v>1649</v>
      </c>
    </row>
    <row r="337" spans="2:2">
      <c r="B337" t="s">
        <v>1650</v>
      </c>
    </row>
    <row r="338" spans="2:2">
      <c r="B338" t="s">
        <v>1651</v>
      </c>
    </row>
    <row r="339" spans="2:2">
      <c r="B339" t="s">
        <v>1652</v>
      </c>
    </row>
    <row r="340" spans="2:2">
      <c r="B340" t="s">
        <v>1653</v>
      </c>
    </row>
    <row r="341" spans="2:2">
      <c r="B341" t="s">
        <v>1654</v>
      </c>
    </row>
    <row r="342" spans="2:2">
      <c r="B342" t="s">
        <v>1655</v>
      </c>
    </row>
    <row r="343" spans="2:2">
      <c r="B343" t="s">
        <v>1656</v>
      </c>
    </row>
    <row r="344" spans="2:2">
      <c r="B344" t="s">
        <v>1657</v>
      </c>
    </row>
    <row r="345" spans="2:2">
      <c r="B345" t="s">
        <v>1658</v>
      </c>
    </row>
    <row r="346" spans="2:2">
      <c r="B346" t="s">
        <v>1659</v>
      </c>
    </row>
    <row r="347" spans="2:2">
      <c r="B347" t="s">
        <v>1660</v>
      </c>
    </row>
    <row r="348" spans="2:2">
      <c r="B348" t="s">
        <v>1661</v>
      </c>
    </row>
    <row r="349" spans="2:2">
      <c r="B349" t="s">
        <v>1662</v>
      </c>
    </row>
    <row r="350" spans="2:2">
      <c r="B350" t="s">
        <v>1663</v>
      </c>
    </row>
    <row r="351" spans="2:2">
      <c r="B351" s="121" t="s">
        <v>1664</v>
      </c>
    </row>
    <row r="352" spans="2:2">
      <c r="B352" s="121" t="s">
        <v>1665</v>
      </c>
    </row>
    <row r="353" spans="2:2">
      <c r="B353" s="121" t="s">
        <v>1666</v>
      </c>
    </row>
    <row r="354" spans="2:2">
      <c r="B354" s="121" t="s">
        <v>1667</v>
      </c>
    </row>
    <row r="355" spans="2:2">
      <c r="B355" s="121" t="s">
        <v>1668</v>
      </c>
    </row>
    <row r="356" spans="2:2">
      <c r="B356" s="121" t="s">
        <v>1669</v>
      </c>
    </row>
    <row r="357" spans="2:2">
      <c r="B357" s="121" t="s">
        <v>1670</v>
      </c>
    </row>
    <row r="358" spans="2:2">
      <c r="B358" s="121" t="s">
        <v>1671</v>
      </c>
    </row>
    <row r="359" spans="2:2">
      <c r="B359" s="121" t="s">
        <v>1672</v>
      </c>
    </row>
    <row r="360" spans="2:2">
      <c r="B360" s="121" t="s">
        <v>1673</v>
      </c>
    </row>
    <row r="361" spans="2:2">
      <c r="B361" s="121" t="s">
        <v>1674</v>
      </c>
    </row>
    <row r="362" spans="2:2">
      <c r="B362" t="s">
        <v>1675</v>
      </c>
    </row>
    <row r="363" spans="2:2">
      <c r="B363" t="s">
        <v>1676</v>
      </c>
    </row>
    <row r="364" spans="2:2">
      <c r="B364" t="s">
        <v>1677</v>
      </c>
    </row>
    <row r="365" spans="2:2">
      <c r="B365" t="s">
        <v>1678</v>
      </c>
    </row>
    <row r="366" spans="2:2">
      <c r="B366" t="s">
        <v>1679</v>
      </c>
    </row>
    <row r="367" spans="2:2">
      <c r="B367" t="s">
        <v>1680</v>
      </c>
    </row>
    <row r="368" spans="2:2">
      <c r="B368" t="s">
        <v>1681</v>
      </c>
    </row>
    <row r="369" spans="2:2">
      <c r="B369" t="s">
        <v>1682</v>
      </c>
    </row>
    <row r="370" spans="2:2">
      <c r="B370" t="s">
        <v>1683</v>
      </c>
    </row>
    <row r="371" spans="2:2">
      <c r="B371" t="s">
        <v>1684</v>
      </c>
    </row>
    <row r="372" spans="2:2">
      <c r="B372" t="s">
        <v>1685</v>
      </c>
    </row>
    <row r="373" spans="2:2">
      <c r="B373" t="s">
        <v>1686</v>
      </c>
    </row>
    <row r="374" spans="2:2">
      <c r="B374" t="s">
        <v>1687</v>
      </c>
    </row>
    <row r="375" spans="2:2">
      <c r="B375" t="s">
        <v>1688</v>
      </c>
    </row>
    <row r="376" spans="2:2">
      <c r="B376" t="s">
        <v>1689</v>
      </c>
    </row>
    <row r="377" spans="2:2">
      <c r="B377" t="s">
        <v>1690</v>
      </c>
    </row>
    <row r="378" spans="2:2">
      <c r="B378" t="s">
        <v>1691</v>
      </c>
    </row>
    <row r="379" spans="2:2">
      <c r="B379" t="s">
        <v>1692</v>
      </c>
    </row>
    <row r="380" spans="2:2">
      <c r="B380" t="s">
        <v>1693</v>
      </c>
    </row>
    <row r="381" spans="2:2">
      <c r="B381" t="s">
        <v>1694</v>
      </c>
    </row>
    <row r="382" spans="2:2">
      <c r="B382" t="s">
        <v>1695</v>
      </c>
    </row>
    <row r="383" spans="2:2">
      <c r="B383" t="s">
        <v>1696</v>
      </c>
    </row>
    <row r="384" spans="2:2">
      <c r="B384" t="s">
        <v>1697</v>
      </c>
    </row>
    <row r="385" spans="2:2">
      <c r="B385" t="s">
        <v>1698</v>
      </c>
    </row>
    <row r="386" spans="2:2">
      <c r="B386" t="s">
        <v>1699</v>
      </c>
    </row>
    <row r="387" spans="2:2">
      <c r="B387" t="s">
        <v>1700</v>
      </c>
    </row>
    <row r="388" spans="2:2">
      <c r="B388" t="s">
        <v>1701</v>
      </c>
    </row>
    <row r="389" spans="2:2">
      <c r="B389" t="s">
        <v>1702</v>
      </c>
    </row>
    <row r="390" spans="2:2">
      <c r="B390" t="s">
        <v>1703</v>
      </c>
    </row>
    <row r="391" spans="2:2">
      <c r="B391" t="s">
        <v>1704</v>
      </c>
    </row>
    <row r="392" spans="2:2">
      <c r="B392" t="s">
        <v>1705</v>
      </c>
    </row>
    <row r="393" spans="2:2">
      <c r="B393" t="s">
        <v>1706</v>
      </c>
    </row>
    <row r="394" spans="2:2">
      <c r="B394" t="s">
        <v>1707</v>
      </c>
    </row>
    <row r="395" spans="2:2">
      <c r="B395" t="s">
        <v>1708</v>
      </c>
    </row>
    <row r="396" spans="2:2">
      <c r="B396" t="s">
        <v>1709</v>
      </c>
    </row>
    <row r="397" spans="2:2">
      <c r="B397" t="s">
        <v>1710</v>
      </c>
    </row>
    <row r="398" spans="2:2">
      <c r="B398" t="s">
        <v>1711</v>
      </c>
    </row>
    <row r="399" spans="2:2">
      <c r="B399" t="s">
        <v>1712</v>
      </c>
    </row>
    <row r="400" spans="2:2">
      <c r="B400" t="s">
        <v>1713</v>
      </c>
    </row>
    <row r="401" spans="2:2">
      <c r="B401" t="s">
        <v>1714</v>
      </c>
    </row>
    <row r="402" spans="2:2">
      <c r="B402" t="s">
        <v>1715</v>
      </c>
    </row>
    <row r="403" spans="2:2">
      <c r="B403" t="s">
        <v>1716</v>
      </c>
    </row>
    <row r="404" spans="2:2">
      <c r="B404" t="s">
        <v>1717</v>
      </c>
    </row>
    <row r="405" spans="2:2">
      <c r="B405" t="s">
        <v>1718</v>
      </c>
    </row>
    <row r="406" spans="2:2">
      <c r="B406" t="s">
        <v>1719</v>
      </c>
    </row>
    <row r="407" spans="2:2">
      <c r="B407" t="s">
        <v>1720</v>
      </c>
    </row>
    <row r="408" spans="2:2">
      <c r="B408" t="s">
        <v>1721</v>
      </c>
    </row>
    <row r="409" spans="2:2">
      <c r="B409" t="s">
        <v>1722</v>
      </c>
    </row>
    <row r="410" spans="2:2">
      <c r="B410" t="s">
        <v>1723</v>
      </c>
    </row>
    <row r="411" spans="2:2">
      <c r="B411" t="s">
        <v>1724</v>
      </c>
    </row>
    <row r="412" spans="2:2">
      <c r="B412" t="s">
        <v>1725</v>
      </c>
    </row>
    <row r="413" spans="2:2">
      <c r="B413" t="s">
        <v>1726</v>
      </c>
    </row>
    <row r="414" spans="2:2">
      <c r="B414" t="s">
        <v>1727</v>
      </c>
    </row>
    <row r="415" spans="2:2">
      <c r="B415" t="s">
        <v>1728</v>
      </c>
    </row>
    <row r="416" spans="2:2">
      <c r="B416" t="s">
        <v>1729</v>
      </c>
    </row>
    <row r="417" spans="2:2">
      <c r="B417" t="s">
        <v>1730</v>
      </c>
    </row>
    <row r="418" spans="2:2">
      <c r="B418" t="s">
        <v>1731</v>
      </c>
    </row>
    <row r="419" spans="2:2">
      <c r="B419" t="s">
        <v>1732</v>
      </c>
    </row>
    <row r="420" spans="2:2">
      <c r="B420" t="s">
        <v>1733</v>
      </c>
    </row>
    <row r="421" spans="2:2">
      <c r="B421" t="s">
        <v>1734</v>
      </c>
    </row>
    <row r="422" spans="2:2">
      <c r="B422" t="s">
        <v>1735</v>
      </c>
    </row>
    <row r="423" spans="2:2">
      <c r="B423" t="s">
        <v>1736</v>
      </c>
    </row>
    <row r="424" spans="2:2">
      <c r="B424" t="s">
        <v>1737</v>
      </c>
    </row>
    <row r="425" spans="2:2">
      <c r="B425" t="s">
        <v>1738</v>
      </c>
    </row>
    <row r="426" spans="2:2">
      <c r="B426" t="s">
        <v>1739</v>
      </c>
    </row>
    <row r="427" spans="2:2">
      <c r="B427" t="s">
        <v>1740</v>
      </c>
    </row>
    <row r="428" spans="2:2">
      <c r="B428" t="s">
        <v>1741</v>
      </c>
    </row>
    <row r="429" spans="2:2">
      <c r="B429" t="s">
        <v>1742</v>
      </c>
    </row>
    <row r="430" spans="2:2">
      <c r="B430" t="s">
        <v>1743</v>
      </c>
    </row>
    <row r="431" spans="2:2">
      <c r="B431" t="s">
        <v>1744</v>
      </c>
    </row>
    <row r="432" spans="2:2">
      <c r="B432" t="s">
        <v>1745</v>
      </c>
    </row>
    <row r="433" spans="2:2">
      <c r="B433" t="s">
        <v>1746</v>
      </c>
    </row>
    <row r="434" spans="2:2">
      <c r="B434" t="s">
        <v>1747</v>
      </c>
    </row>
    <row r="435" spans="2:2">
      <c r="B435" t="s">
        <v>1748</v>
      </c>
    </row>
    <row r="436" spans="2:2">
      <c r="B436" t="s">
        <v>1749</v>
      </c>
    </row>
    <row r="437" spans="2:2">
      <c r="B437" t="s">
        <v>1750</v>
      </c>
    </row>
    <row r="438" spans="2:2">
      <c r="B438" t="s">
        <v>1751</v>
      </c>
    </row>
    <row r="439" spans="2:2">
      <c r="B439" t="s">
        <v>1752</v>
      </c>
    </row>
    <row r="440" spans="2:2">
      <c r="B440" t="s">
        <v>1753</v>
      </c>
    </row>
    <row r="441" spans="2:2">
      <c r="B441" t="s">
        <v>1754</v>
      </c>
    </row>
    <row r="442" spans="2:2">
      <c r="B442" t="s">
        <v>1755</v>
      </c>
    </row>
    <row r="443" spans="2:2">
      <c r="B443" t="s">
        <v>1756</v>
      </c>
    </row>
    <row r="444" spans="2:2">
      <c r="B444" t="s">
        <v>1757</v>
      </c>
    </row>
    <row r="445" spans="2:2">
      <c r="B445" t="s">
        <v>1758</v>
      </c>
    </row>
    <row r="446" spans="2:2">
      <c r="B446" t="s">
        <v>1759</v>
      </c>
    </row>
    <row r="447" spans="2:2">
      <c r="B447" t="s">
        <v>1760</v>
      </c>
    </row>
    <row r="448" spans="2:2">
      <c r="B448" t="s">
        <v>1761</v>
      </c>
    </row>
    <row r="449" spans="2:2">
      <c r="B449" t="s">
        <v>1762</v>
      </c>
    </row>
    <row r="450" spans="2:2">
      <c r="B450" t="s">
        <v>1763</v>
      </c>
    </row>
    <row r="451" spans="2:2">
      <c r="B451" t="s">
        <v>1764</v>
      </c>
    </row>
    <row r="452" spans="2:2">
      <c r="B452" t="s">
        <v>1765</v>
      </c>
    </row>
    <row r="453" spans="2:2">
      <c r="B453" t="s">
        <v>1766</v>
      </c>
    </row>
    <row r="454" spans="2:2">
      <c r="B454" t="s">
        <v>1767</v>
      </c>
    </row>
    <row r="455" spans="2:2">
      <c r="B455" t="s">
        <v>1768</v>
      </c>
    </row>
    <row r="456" spans="2:2">
      <c r="B456" t="s">
        <v>1769</v>
      </c>
    </row>
    <row r="457" spans="2:2">
      <c r="B457" t="s">
        <v>1770</v>
      </c>
    </row>
    <row r="458" spans="2:2">
      <c r="B458" t="s">
        <v>1771</v>
      </c>
    </row>
    <row r="459" spans="2:2">
      <c r="B459" t="s">
        <v>1772</v>
      </c>
    </row>
    <row r="460" spans="2:2">
      <c r="B460" t="s">
        <v>1773</v>
      </c>
    </row>
    <row r="461" spans="2:2">
      <c r="B461" t="s">
        <v>1774</v>
      </c>
    </row>
    <row r="462" spans="2:2">
      <c r="B462" t="s">
        <v>1775</v>
      </c>
    </row>
    <row r="463" spans="2:2">
      <c r="B463" t="s">
        <v>1776</v>
      </c>
    </row>
    <row r="464" spans="2:2">
      <c r="B464" t="s">
        <v>1777</v>
      </c>
    </row>
    <row r="465" spans="2:2">
      <c r="B465" t="s">
        <v>1778</v>
      </c>
    </row>
    <row r="466" spans="2:2">
      <c r="B466" t="s">
        <v>1779</v>
      </c>
    </row>
    <row r="467" spans="2:2">
      <c r="B467" t="s">
        <v>1780</v>
      </c>
    </row>
    <row r="468" spans="2:2">
      <c r="B468" t="s">
        <v>1781</v>
      </c>
    </row>
    <row r="469" spans="2:2">
      <c r="B469" t="s">
        <v>1782</v>
      </c>
    </row>
    <row r="470" spans="2:2">
      <c r="B470" t="s">
        <v>1783</v>
      </c>
    </row>
    <row r="471" spans="2:2">
      <c r="B471" t="s">
        <v>1784</v>
      </c>
    </row>
    <row r="472" spans="2:2">
      <c r="B472" t="s">
        <v>1785</v>
      </c>
    </row>
    <row r="473" spans="2:2">
      <c r="B473" t="s">
        <v>1786</v>
      </c>
    </row>
    <row r="474" spans="2:2">
      <c r="B474" t="s">
        <v>1787</v>
      </c>
    </row>
    <row r="475" spans="2:2">
      <c r="B475" t="s">
        <v>1788</v>
      </c>
    </row>
    <row r="476" spans="2:2">
      <c r="B476" t="s">
        <v>1789</v>
      </c>
    </row>
    <row r="477" spans="2:2">
      <c r="B477" t="s">
        <v>1790</v>
      </c>
    </row>
    <row r="478" spans="2:2">
      <c r="B478" t="s">
        <v>1791</v>
      </c>
    </row>
    <row r="479" spans="2:2">
      <c r="B479" t="s">
        <v>1792</v>
      </c>
    </row>
    <row r="480" spans="2:2">
      <c r="B480" t="s">
        <v>1793</v>
      </c>
    </row>
    <row r="481" spans="2:2">
      <c r="B481" t="s">
        <v>1794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D8FE2-BFE4-0443-BEAF-BE72709DF1FE}">
  <dimension ref="A1:F9"/>
  <sheetViews>
    <sheetView workbookViewId="0">
      <selection activeCell="C14" sqref="C14"/>
    </sheetView>
  </sheetViews>
  <sheetFormatPr defaultColWidth="11.42578125" defaultRowHeight="15"/>
  <cols>
    <col min="1" max="1" width="18.42578125" customWidth="1"/>
    <col min="2" max="3" width="16.7109375" customWidth="1"/>
    <col min="4" max="4" width="44.28515625" customWidth="1"/>
    <col min="5" max="5" width="27.7109375" customWidth="1"/>
    <col min="6" max="6" width="140.85546875" customWidth="1"/>
  </cols>
  <sheetData>
    <row r="1" spans="1:6" s="1" customFormat="1" ht="18.95">
      <c r="A1" s="1" t="s">
        <v>0</v>
      </c>
      <c r="B1" s="1" t="s">
        <v>3</v>
      </c>
      <c r="C1" s="1" t="s">
        <v>5</v>
      </c>
      <c r="D1" s="2" t="s">
        <v>6</v>
      </c>
      <c r="E1" s="2" t="s">
        <v>2</v>
      </c>
      <c r="F1" s="1" t="s">
        <v>7</v>
      </c>
    </row>
    <row r="2" spans="1:6" s="5" customFormat="1" ht="18.95">
      <c r="A2" s="3"/>
      <c r="B2" s="4"/>
      <c r="C2" s="4"/>
      <c r="D2" s="3" t="s">
        <v>180</v>
      </c>
      <c r="E2" s="4"/>
      <c r="F2" s="4"/>
    </row>
    <row r="3" spans="1:6" s="8" customFormat="1" ht="48" customHeight="1">
      <c r="A3" s="8" t="s">
        <v>10</v>
      </c>
      <c r="B3" s="8" t="s">
        <v>80</v>
      </c>
      <c r="C3" s="13" t="s">
        <v>106</v>
      </c>
      <c r="D3" s="9" t="s">
        <v>107</v>
      </c>
      <c r="E3" s="8" t="s">
        <v>9</v>
      </c>
      <c r="F3" s="10">
        <f>F4+F5+F6+F7</f>
        <v>-820.93164366601764</v>
      </c>
    </row>
    <row r="4" spans="1:6" s="8" customFormat="1" ht="46.5" customHeight="1">
      <c r="A4" s="8" t="s">
        <v>10</v>
      </c>
      <c r="B4" s="8" t="s">
        <v>80</v>
      </c>
      <c r="C4" s="13" t="s">
        <v>181</v>
      </c>
      <c r="D4" s="11" t="s">
        <v>182</v>
      </c>
      <c r="E4" s="8" t="s">
        <v>9</v>
      </c>
      <c r="F4" s="10">
        <f>F8-(F9/'ACM0001'!H34)</f>
        <v>-820.93164366601764</v>
      </c>
    </row>
    <row r="5" spans="1:6" ht="33">
      <c r="A5" t="s">
        <v>9</v>
      </c>
      <c r="B5" t="s">
        <v>111</v>
      </c>
      <c r="C5" t="s">
        <v>183</v>
      </c>
      <c r="D5" s="6" t="s">
        <v>184</v>
      </c>
      <c r="E5" t="s">
        <v>9</v>
      </c>
      <c r="F5" s="7"/>
    </row>
    <row r="6" spans="1:6" ht="33">
      <c r="A6" t="s">
        <v>9</v>
      </c>
      <c r="B6" t="s">
        <v>111</v>
      </c>
      <c r="C6" t="s">
        <v>185</v>
      </c>
      <c r="D6" s="6" t="s">
        <v>186</v>
      </c>
      <c r="E6" t="s">
        <v>9</v>
      </c>
      <c r="F6" s="7"/>
    </row>
    <row r="7" spans="1:6" ht="48.95">
      <c r="A7" t="s">
        <v>9</v>
      </c>
      <c r="B7" t="s">
        <v>111</v>
      </c>
      <c r="C7" t="s">
        <v>187</v>
      </c>
      <c r="D7" s="6" t="s">
        <v>188</v>
      </c>
      <c r="E7" t="s">
        <v>9</v>
      </c>
      <c r="F7" s="7"/>
    </row>
    <row r="8" spans="1:6" ht="33">
      <c r="A8" t="s">
        <v>9</v>
      </c>
      <c r="B8" t="s">
        <v>111</v>
      </c>
      <c r="C8" t="s">
        <v>189</v>
      </c>
      <c r="D8" s="6" t="s">
        <v>190</v>
      </c>
      <c r="E8" t="s">
        <v>9</v>
      </c>
      <c r="F8" s="7"/>
    </row>
    <row r="9" spans="1:6" s="8" customFormat="1" ht="33">
      <c r="A9" s="8" t="s">
        <v>10</v>
      </c>
      <c r="B9" s="8" t="s">
        <v>80</v>
      </c>
      <c r="C9" s="8" t="s">
        <v>191</v>
      </c>
      <c r="D9" s="9" t="s">
        <v>192</v>
      </c>
      <c r="E9" s="8" t="s">
        <v>9</v>
      </c>
      <c r="F9" s="10">
        <f>'Tool 06'!F69</f>
        <v>20523.291091650441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3193C-AAE7-A84A-A85C-F3A3B816B404}">
  <dimension ref="A1:F4"/>
  <sheetViews>
    <sheetView workbookViewId="0">
      <selection activeCell="F3" sqref="F3"/>
    </sheetView>
  </sheetViews>
  <sheetFormatPr defaultColWidth="11.42578125" defaultRowHeight="15"/>
  <cols>
    <col min="1" max="1" width="18.42578125" customWidth="1"/>
    <col min="2" max="3" width="16.7109375" customWidth="1"/>
    <col min="4" max="4" width="44.28515625" customWidth="1"/>
    <col min="5" max="5" width="27.7109375" customWidth="1"/>
    <col min="6" max="6" width="140.85546875" customWidth="1"/>
  </cols>
  <sheetData>
    <row r="1" spans="1:6" s="1" customFormat="1" ht="18.95">
      <c r="A1" s="1" t="s">
        <v>0</v>
      </c>
      <c r="B1" s="1" t="s">
        <v>3</v>
      </c>
      <c r="C1" s="1" t="s">
        <v>5</v>
      </c>
      <c r="D1" s="2" t="s">
        <v>6</v>
      </c>
      <c r="E1" s="2" t="s">
        <v>2</v>
      </c>
      <c r="F1" s="1" t="s">
        <v>7</v>
      </c>
    </row>
    <row r="2" spans="1:6" s="5" customFormat="1" ht="18.95">
      <c r="A2" s="3"/>
      <c r="B2" s="4"/>
      <c r="C2" s="4"/>
      <c r="D2" s="3" t="s">
        <v>193</v>
      </c>
      <c r="E2" s="4"/>
      <c r="F2" s="4"/>
    </row>
    <row r="3" spans="1:6" s="8" customFormat="1" ht="33">
      <c r="A3" s="8" t="s">
        <v>10</v>
      </c>
      <c r="B3" s="8" t="s">
        <v>80</v>
      </c>
      <c r="C3" s="13" t="s">
        <v>108</v>
      </c>
      <c r="D3" s="9" t="s">
        <v>109</v>
      </c>
      <c r="E3" s="8" t="s">
        <v>10</v>
      </c>
      <c r="F3" s="16">
        <v>0</v>
      </c>
    </row>
    <row r="4" spans="1:6">
      <c r="C4" s="14"/>
      <c r="D4" s="15"/>
      <c r="F4" s="7"/>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D95D-610E-2A41-8733-43188803959A}">
  <dimension ref="A1:F17"/>
  <sheetViews>
    <sheetView topLeftCell="A9" workbookViewId="0">
      <selection activeCell="D4" sqref="D4"/>
    </sheetView>
  </sheetViews>
  <sheetFormatPr defaultColWidth="11.42578125" defaultRowHeight="15"/>
  <cols>
    <col min="1" max="1" width="18.42578125" customWidth="1"/>
    <col min="2" max="3" width="16.7109375" customWidth="1"/>
    <col min="4" max="4" width="44.28515625" customWidth="1"/>
    <col min="5" max="5" width="27.7109375" customWidth="1"/>
    <col min="6" max="6" width="140.85546875" customWidth="1"/>
  </cols>
  <sheetData>
    <row r="1" spans="1:6" s="1" customFormat="1" ht="18.95">
      <c r="A1" s="1" t="s">
        <v>0</v>
      </c>
      <c r="B1" s="1" t="s">
        <v>3</v>
      </c>
      <c r="C1" s="1" t="s">
        <v>5</v>
      </c>
      <c r="D1" s="2" t="s">
        <v>6</v>
      </c>
      <c r="E1" s="2" t="s">
        <v>2</v>
      </c>
      <c r="F1" s="1" t="s">
        <v>7</v>
      </c>
    </row>
    <row r="2" spans="1:6" s="5" customFormat="1" ht="18.95">
      <c r="A2" s="3"/>
      <c r="B2" s="4"/>
      <c r="C2" s="4"/>
      <c r="D2" s="3" t="s">
        <v>194</v>
      </c>
      <c r="E2" s="4"/>
      <c r="F2" s="4"/>
    </row>
    <row r="3" spans="1:6" s="8" customFormat="1" ht="41.1" customHeight="1">
      <c r="A3" s="8" t="s">
        <v>10</v>
      </c>
      <c r="B3" s="8" t="s">
        <v>80</v>
      </c>
      <c r="C3" s="13" t="s">
        <v>108</v>
      </c>
      <c r="D3" s="9" t="s">
        <v>109</v>
      </c>
      <c r="E3" s="8" t="s">
        <v>9</v>
      </c>
      <c r="F3" s="16" t="str">
        <f>F5</f>
        <v xml:space="preserve">If the requirements specify the amount of methane that must be flared then use field F7 in "Case 2" schema, if the requirements specify  a percentage of the captured LFG that is required to
be flared then use field F9 in "Case 2" schema, if the requirements do not specify percentage of the vaptureed LFG that is required to be flared then use field F14 in "Case 2" schema </v>
      </c>
    </row>
    <row r="4" spans="1:6" s="105" customFormat="1" ht="48">
      <c r="A4" s="105" t="s">
        <v>9</v>
      </c>
      <c r="B4" s="105" t="s">
        <v>83</v>
      </c>
      <c r="C4" s="105" t="s">
        <v>12</v>
      </c>
      <c r="D4" s="106" t="s">
        <v>195</v>
      </c>
      <c r="E4" s="105" t="s">
        <v>10</v>
      </c>
      <c r="F4" s="105" t="s">
        <v>196</v>
      </c>
    </row>
    <row r="5" spans="1:6" s="8" customFormat="1" ht="42" customHeight="1">
      <c r="A5" s="8" t="s">
        <v>9</v>
      </c>
      <c r="B5" s="8" t="s">
        <v>80</v>
      </c>
      <c r="C5" s="13" t="s">
        <v>197</v>
      </c>
      <c r="D5" s="11" t="s">
        <v>198</v>
      </c>
      <c r="E5" s="8" t="s">
        <v>10</v>
      </c>
      <c r="F5" s="16" t="s">
        <v>199</v>
      </c>
    </row>
    <row r="6" spans="1:6" s="5" customFormat="1" ht="18.95">
      <c r="A6" s="3"/>
      <c r="B6" s="4"/>
      <c r="C6" s="4"/>
      <c r="D6" s="3" t="s">
        <v>200</v>
      </c>
      <c r="E6" s="4"/>
      <c r="F6" s="4"/>
    </row>
    <row r="7" spans="1:6" ht="33">
      <c r="A7" t="s">
        <v>9</v>
      </c>
      <c r="B7" t="s">
        <v>111</v>
      </c>
      <c r="C7" s="14" t="s">
        <v>197</v>
      </c>
      <c r="D7" s="15" t="s">
        <v>198</v>
      </c>
      <c r="E7" t="s">
        <v>9</v>
      </c>
      <c r="F7" s="7"/>
    </row>
    <row r="8" spans="1:6" s="5" customFormat="1" ht="18.95">
      <c r="A8" s="3"/>
      <c r="B8" s="4"/>
      <c r="C8" s="4"/>
      <c r="D8" s="3" t="s">
        <v>201</v>
      </c>
      <c r="E8" s="4"/>
      <c r="F8" s="4"/>
    </row>
    <row r="9" spans="1:6" s="8" customFormat="1" ht="33">
      <c r="A9" s="8" t="s">
        <v>10</v>
      </c>
      <c r="B9" s="8" t="s">
        <v>80</v>
      </c>
      <c r="C9" s="13" t="s">
        <v>197</v>
      </c>
      <c r="D9" s="11" t="s">
        <v>198</v>
      </c>
      <c r="E9" s="8" t="s">
        <v>9</v>
      </c>
      <c r="F9" s="10">
        <f>F10*F11</f>
        <v>0</v>
      </c>
    </row>
    <row r="10" spans="1:6" ht="33">
      <c r="A10" t="s">
        <v>9</v>
      </c>
      <c r="B10" t="s">
        <v>111</v>
      </c>
      <c r="C10" t="s">
        <v>202</v>
      </c>
      <c r="D10" s="6" t="s">
        <v>203</v>
      </c>
      <c r="E10" t="s">
        <v>9</v>
      </c>
    </row>
    <row r="11" spans="1:6" ht="33">
      <c r="A11" t="s">
        <v>9</v>
      </c>
      <c r="B11" t="s">
        <v>111</v>
      </c>
      <c r="C11" t="s">
        <v>204</v>
      </c>
      <c r="D11" s="6" t="s">
        <v>205</v>
      </c>
      <c r="E11" t="s">
        <v>9</v>
      </c>
    </row>
    <row r="12" spans="1:6" s="5" customFormat="1" ht="18.95">
      <c r="A12" s="3"/>
      <c r="B12" s="4"/>
      <c r="C12" s="4"/>
      <c r="D12" s="3" t="s">
        <v>206</v>
      </c>
      <c r="E12" s="4"/>
      <c r="F12" s="4"/>
    </row>
    <row r="13" spans="1:6" s="105" customFormat="1" ht="56.1" customHeight="1">
      <c r="A13" s="105" t="s">
        <v>9</v>
      </c>
      <c r="B13" s="105" t="s">
        <v>83</v>
      </c>
      <c r="C13" s="105" t="s">
        <v>12</v>
      </c>
      <c r="D13" s="106" t="s">
        <v>207</v>
      </c>
      <c r="E13" s="105" t="s">
        <v>10</v>
      </c>
      <c r="F13" s="106" t="s">
        <v>208</v>
      </c>
    </row>
    <row r="14" spans="1:6" s="8" customFormat="1" ht="56.1" customHeight="1">
      <c r="A14" s="8" t="s">
        <v>9</v>
      </c>
      <c r="B14" s="8" t="s">
        <v>80</v>
      </c>
      <c r="C14" s="8" t="s">
        <v>209</v>
      </c>
      <c r="D14" s="9" t="s">
        <v>205</v>
      </c>
      <c r="E14" s="8" t="s">
        <v>9</v>
      </c>
      <c r="F14" s="9" t="s">
        <v>210</v>
      </c>
    </row>
    <row r="15" spans="1:6" s="8" customFormat="1" ht="33">
      <c r="A15" s="8" t="s">
        <v>10</v>
      </c>
      <c r="B15" s="8" t="s">
        <v>80</v>
      </c>
      <c r="C15" s="13" t="s">
        <v>197</v>
      </c>
      <c r="D15" s="11" t="s">
        <v>198</v>
      </c>
      <c r="E15" s="8" t="s">
        <v>10</v>
      </c>
      <c r="F15" s="10">
        <v>0</v>
      </c>
    </row>
    <row r="16" spans="1:6" s="8" customFormat="1" ht="33">
      <c r="A16" s="8" t="s">
        <v>10</v>
      </c>
      <c r="B16" s="8" t="s">
        <v>80</v>
      </c>
      <c r="C16" s="13" t="s">
        <v>197</v>
      </c>
      <c r="D16" s="11" t="s">
        <v>198</v>
      </c>
      <c r="E16" s="8" t="s">
        <v>79</v>
      </c>
      <c r="F16" s="10">
        <f>0.2*F17</f>
        <v>0</v>
      </c>
    </row>
    <row r="17" spans="1:5" ht="33">
      <c r="A17" t="s">
        <v>9</v>
      </c>
      <c r="B17" t="s">
        <v>111</v>
      </c>
      <c r="C17" t="s">
        <v>204</v>
      </c>
      <c r="D17" s="6" t="s">
        <v>205</v>
      </c>
      <c r="E17" t="s">
        <v>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1DF01-98C6-4A41-B8C8-F9CD912C07AD}">
  <dimension ref="A1:F17"/>
  <sheetViews>
    <sheetView topLeftCell="A4" workbookViewId="0">
      <selection activeCell="A4" sqref="A4"/>
    </sheetView>
  </sheetViews>
  <sheetFormatPr defaultColWidth="11.42578125" defaultRowHeight="15"/>
  <cols>
    <col min="1" max="1" width="18.42578125" customWidth="1"/>
    <col min="2" max="3" width="16.7109375" customWidth="1"/>
    <col min="4" max="4" width="44.28515625" customWidth="1"/>
    <col min="5" max="5" width="27.7109375" customWidth="1"/>
    <col min="6" max="6" width="142" customWidth="1"/>
  </cols>
  <sheetData>
    <row r="1" spans="1:6" s="1" customFormat="1" ht="18.95">
      <c r="A1" s="1" t="s">
        <v>0</v>
      </c>
      <c r="B1" s="1" t="s">
        <v>3</v>
      </c>
      <c r="C1" s="1" t="s">
        <v>5</v>
      </c>
      <c r="D1" s="2" t="s">
        <v>6</v>
      </c>
      <c r="E1" s="2" t="s">
        <v>2</v>
      </c>
      <c r="F1" s="1" t="s">
        <v>7</v>
      </c>
    </row>
    <row r="2" spans="1:6" s="5" customFormat="1" ht="18.95">
      <c r="A2" s="3"/>
      <c r="B2" s="4"/>
      <c r="C2" s="4"/>
      <c r="D2" s="3" t="s">
        <v>211</v>
      </c>
      <c r="E2" s="4"/>
      <c r="F2" s="4"/>
    </row>
    <row r="3" spans="1:6" s="8" customFormat="1" ht="33">
      <c r="A3" s="8" t="s">
        <v>10</v>
      </c>
      <c r="B3" s="8" t="s">
        <v>80</v>
      </c>
      <c r="C3" s="13" t="s">
        <v>108</v>
      </c>
      <c r="D3" s="9" t="s">
        <v>109</v>
      </c>
      <c r="E3" s="8" t="s">
        <v>10</v>
      </c>
      <c r="F3" s="16" t="str">
        <f>F5</f>
        <v>If there is monitored data then use field F7 in "Case 3" schema, if there is no monitored data but there is historic data in the year prior then use field F10 in "Case 3" schema, if there is no 
monitored or historic data then use field F16in "Case 3" schema</v>
      </c>
    </row>
    <row r="4" spans="1:6" s="105" customFormat="1" ht="32.1">
      <c r="A4" s="105" t="s">
        <v>9</v>
      </c>
      <c r="B4" s="105" t="s">
        <v>83</v>
      </c>
      <c r="C4" s="105" t="s">
        <v>12</v>
      </c>
      <c r="D4" s="106" t="s">
        <v>212</v>
      </c>
      <c r="E4" s="105" t="s">
        <v>10</v>
      </c>
      <c r="F4" s="107" t="s">
        <v>213</v>
      </c>
    </row>
    <row r="5" spans="1:6" s="8" customFormat="1" ht="48.95">
      <c r="A5" s="8" t="s">
        <v>9</v>
      </c>
      <c r="B5" s="8" t="s">
        <v>80</v>
      </c>
      <c r="C5" s="13" t="s">
        <v>214</v>
      </c>
      <c r="D5" s="11" t="s">
        <v>215</v>
      </c>
      <c r="E5" s="8" t="s">
        <v>10</v>
      </c>
      <c r="F5" s="16" t="s">
        <v>216</v>
      </c>
    </row>
    <row r="6" spans="1:6" s="5" customFormat="1" ht="18.95">
      <c r="A6" s="3"/>
      <c r="B6" s="4"/>
      <c r="C6" s="4"/>
      <c r="D6" s="3" t="s">
        <v>217</v>
      </c>
      <c r="E6" s="4"/>
      <c r="F6" s="4"/>
    </row>
    <row r="7" spans="1:6" s="8" customFormat="1" ht="48.95">
      <c r="A7" s="8" t="s">
        <v>10</v>
      </c>
      <c r="B7" s="8" t="s">
        <v>80</v>
      </c>
      <c r="C7" s="13" t="s">
        <v>214</v>
      </c>
      <c r="D7" s="11" t="s">
        <v>215</v>
      </c>
      <c r="E7" s="8" t="s">
        <v>9</v>
      </c>
      <c r="F7" s="10">
        <f>F8</f>
        <v>0</v>
      </c>
    </row>
    <row r="8" spans="1:6" ht="33">
      <c r="A8" t="s">
        <v>9</v>
      </c>
      <c r="B8" t="s">
        <v>111</v>
      </c>
      <c r="C8" t="s">
        <v>218</v>
      </c>
      <c r="D8" s="6" t="s">
        <v>190</v>
      </c>
      <c r="E8" t="s">
        <v>9</v>
      </c>
    </row>
    <row r="9" spans="1:6" s="5" customFormat="1" ht="18.95">
      <c r="A9" s="3"/>
      <c r="B9" s="4"/>
      <c r="C9" s="4"/>
      <c r="D9" s="3" t="s">
        <v>219</v>
      </c>
      <c r="E9" s="4"/>
      <c r="F9" s="4"/>
    </row>
    <row r="10" spans="1:6" s="8" customFormat="1" ht="48.95">
      <c r="A10" s="8" t="s">
        <v>10</v>
      </c>
      <c r="B10" s="8" t="s">
        <v>80</v>
      </c>
      <c r="C10" s="13" t="s">
        <v>214</v>
      </c>
      <c r="D10" s="11" t="s">
        <v>215</v>
      </c>
      <c r="E10" s="8" t="s">
        <v>9</v>
      </c>
      <c r="F10" s="10" t="e">
        <f>F11</f>
        <v>#DIV/0!</v>
      </c>
    </row>
    <row r="11" spans="1:6" s="8" customFormat="1" ht="33">
      <c r="A11" s="8" t="s">
        <v>10</v>
      </c>
      <c r="B11" s="8" t="s">
        <v>80</v>
      </c>
      <c r="C11" s="8" t="s">
        <v>220</v>
      </c>
      <c r="D11" s="9" t="s">
        <v>221</v>
      </c>
      <c r="E11" s="8" t="s">
        <v>9</v>
      </c>
      <c r="F11" s="10" t="e">
        <f>F12/F13*F14</f>
        <v>#DIV/0!</v>
      </c>
    </row>
    <row r="12" spans="1:6" ht="48.95">
      <c r="A12" t="s">
        <v>9</v>
      </c>
      <c r="B12" t="s">
        <v>111</v>
      </c>
      <c r="C12" t="s">
        <v>222</v>
      </c>
      <c r="D12" s="6" t="s">
        <v>223</v>
      </c>
      <c r="E12" t="s">
        <v>9</v>
      </c>
      <c r="F12" s="7"/>
    </row>
    <row r="13" spans="1:6" ht="48.95">
      <c r="A13" t="s">
        <v>9</v>
      </c>
      <c r="B13" t="s">
        <v>111</v>
      </c>
      <c r="C13" t="s">
        <v>224</v>
      </c>
      <c r="D13" s="6" t="s">
        <v>225</v>
      </c>
      <c r="E13" t="s">
        <v>9</v>
      </c>
      <c r="F13" s="7"/>
    </row>
    <row r="14" spans="1:6" ht="33">
      <c r="A14" t="s">
        <v>9</v>
      </c>
      <c r="B14" t="s">
        <v>111</v>
      </c>
      <c r="C14" t="s">
        <v>226</v>
      </c>
      <c r="D14" s="6" t="s">
        <v>205</v>
      </c>
      <c r="E14" t="s">
        <v>9</v>
      </c>
      <c r="F14" s="7"/>
    </row>
    <row r="15" spans="1:6" s="5" customFormat="1" ht="18.95">
      <c r="A15" s="3"/>
      <c r="B15" s="4"/>
      <c r="C15" s="4"/>
      <c r="D15" s="3" t="s">
        <v>227</v>
      </c>
      <c r="E15" s="4"/>
      <c r="F15" s="4"/>
    </row>
    <row r="16" spans="1:6" s="8" customFormat="1" ht="48.95">
      <c r="A16" s="8" t="s">
        <v>10</v>
      </c>
      <c r="B16" s="8" t="s">
        <v>80</v>
      </c>
      <c r="C16" s="13" t="s">
        <v>214</v>
      </c>
      <c r="D16" s="11" t="s">
        <v>215</v>
      </c>
      <c r="E16" s="8" t="s">
        <v>9</v>
      </c>
      <c r="F16" s="10">
        <f>0.2*F17</f>
        <v>0</v>
      </c>
    </row>
    <row r="17" spans="1:6" ht="33">
      <c r="A17" t="s">
        <v>9</v>
      </c>
      <c r="B17" t="s">
        <v>111</v>
      </c>
      <c r="C17" t="s">
        <v>226</v>
      </c>
      <c r="D17" s="6" t="s">
        <v>205</v>
      </c>
      <c r="E17" t="s">
        <v>9</v>
      </c>
      <c r="F17" s="7"/>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FEB78-F3D3-C24F-AE1E-ACC0D976F28D}">
  <dimension ref="A1:F7"/>
  <sheetViews>
    <sheetView workbookViewId="0">
      <selection activeCell="D12" sqref="D12"/>
    </sheetView>
  </sheetViews>
  <sheetFormatPr defaultColWidth="11.42578125" defaultRowHeight="15"/>
  <cols>
    <col min="1" max="1" width="18.42578125" customWidth="1"/>
    <col min="2" max="3" width="16.7109375" customWidth="1"/>
    <col min="4" max="4" width="44.28515625" customWidth="1"/>
    <col min="5" max="5" width="27.7109375" customWidth="1"/>
    <col min="6" max="6" width="142" customWidth="1"/>
  </cols>
  <sheetData>
    <row r="1" spans="1:6" s="1" customFormat="1" ht="18.95">
      <c r="A1" s="1" t="s">
        <v>0</v>
      </c>
      <c r="B1" s="1" t="s">
        <v>3</v>
      </c>
      <c r="C1" s="1" t="s">
        <v>5</v>
      </c>
      <c r="D1" s="2" t="s">
        <v>6</v>
      </c>
      <c r="E1" s="2" t="s">
        <v>2</v>
      </c>
      <c r="F1" s="1" t="s">
        <v>7</v>
      </c>
    </row>
    <row r="2" spans="1:6" s="5" customFormat="1" ht="18.95">
      <c r="A2" s="3"/>
      <c r="B2" s="4"/>
      <c r="C2" s="4"/>
      <c r="D2" s="3" t="s">
        <v>228</v>
      </c>
      <c r="E2" s="4"/>
      <c r="F2" s="4"/>
    </row>
    <row r="3" spans="1:6" s="8" customFormat="1" ht="33">
      <c r="A3" s="8" t="s">
        <v>10</v>
      </c>
      <c r="B3" s="8" t="s">
        <v>80</v>
      </c>
      <c r="C3" s="13" t="s">
        <v>108</v>
      </c>
      <c r="D3" s="9" t="s">
        <v>109</v>
      </c>
      <c r="E3" s="8" t="s">
        <v>9</v>
      </c>
      <c r="F3" s="17">
        <f>MAX(F5,F7)</f>
        <v>0</v>
      </c>
    </row>
    <row r="4" spans="1:6" s="105" customFormat="1" ht="48">
      <c r="A4" s="105" t="s">
        <v>9</v>
      </c>
      <c r="B4" s="105" t="s">
        <v>83</v>
      </c>
      <c r="C4" s="105" t="s">
        <v>12</v>
      </c>
      <c r="D4" s="106" t="s">
        <v>195</v>
      </c>
      <c r="E4" s="105" t="s">
        <v>10</v>
      </c>
      <c r="F4" s="105" t="s">
        <v>196</v>
      </c>
    </row>
    <row r="5" spans="1:6" ht="33">
      <c r="A5" t="s">
        <v>9</v>
      </c>
      <c r="B5" t="s">
        <v>111</v>
      </c>
      <c r="C5" s="14" t="s">
        <v>197</v>
      </c>
      <c r="D5" s="15" t="s">
        <v>198</v>
      </c>
      <c r="E5" t="s">
        <v>9</v>
      </c>
      <c r="F5" s="7" t="str">
        <f>'Case 2'!F5</f>
        <v xml:space="preserve">If the requirements specify the amount of methane that must be flared then use field F7 in "Case 2" schema, if the requirements specify  a percentage of the captured LFG that is required to
be flared then use field F9 in "Case 2" schema, if the requirements do not specify percentage of the vaptureed LFG that is required to be flared then use field F14 in "Case 2" schema </v>
      </c>
    </row>
    <row r="6" spans="1:6" s="105" customFormat="1" ht="32.1">
      <c r="A6" s="105" t="s">
        <v>9</v>
      </c>
      <c r="B6" s="105" t="s">
        <v>83</v>
      </c>
      <c r="C6" s="105" t="s">
        <v>12</v>
      </c>
      <c r="D6" s="106" t="s">
        <v>212</v>
      </c>
      <c r="E6" s="105" t="s">
        <v>10</v>
      </c>
      <c r="F6" s="107" t="s">
        <v>213</v>
      </c>
    </row>
    <row r="7" spans="1:6" ht="48.95">
      <c r="A7" t="s">
        <v>9</v>
      </c>
      <c r="B7" t="s">
        <v>111</v>
      </c>
      <c r="C7" t="s">
        <v>229</v>
      </c>
      <c r="D7" s="6" t="s">
        <v>230</v>
      </c>
      <c r="E7" t="s">
        <v>9</v>
      </c>
      <c r="F7" t="str">
        <f>'Case 3'!F5</f>
        <v>If there is monitored data then use field F7 in "Case 3" schema, if there is no monitored data but there is historic data in the year prior then use field F10 in "Case 3" schema, if there is no 
monitored or historic data then use field F16in "Case 3" schema</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BD8B9-B80C-9145-AF71-9AF068E0DD24}">
  <dimension ref="A1:F10"/>
  <sheetViews>
    <sheetView zoomScale="98" workbookViewId="0">
      <selection activeCell="F8" sqref="F8"/>
    </sheetView>
  </sheetViews>
  <sheetFormatPr defaultColWidth="11.42578125" defaultRowHeight="15"/>
  <cols>
    <col min="1" max="1" width="18.42578125" customWidth="1"/>
    <col min="2" max="3" width="16.7109375" customWidth="1"/>
    <col min="4" max="4" width="44.28515625" customWidth="1"/>
    <col min="5" max="5" width="27.7109375" customWidth="1"/>
    <col min="6" max="6" width="140.85546875" customWidth="1"/>
  </cols>
  <sheetData>
    <row r="1" spans="1:6" s="1" customFormat="1" ht="18.95">
      <c r="A1" s="1" t="s">
        <v>0</v>
      </c>
      <c r="B1" s="1" t="s">
        <v>3</v>
      </c>
      <c r="C1" s="1" t="s">
        <v>5</v>
      </c>
      <c r="D1" s="2" t="s">
        <v>6</v>
      </c>
      <c r="E1" s="2" t="s">
        <v>2</v>
      </c>
      <c r="F1" s="1" t="s">
        <v>7</v>
      </c>
    </row>
    <row r="2" spans="1:6" s="5" customFormat="1" ht="18.95">
      <c r="A2" s="3"/>
      <c r="B2" s="4"/>
      <c r="C2" s="4"/>
      <c r="D2" s="3" t="s">
        <v>231</v>
      </c>
      <c r="E2" s="4"/>
      <c r="F2" s="4"/>
    </row>
    <row r="3" spans="1:6" s="8" customFormat="1" ht="33">
      <c r="A3" s="8" t="s">
        <v>10</v>
      </c>
      <c r="B3" s="8" t="s">
        <v>80</v>
      </c>
      <c r="C3" s="13" t="s">
        <v>135</v>
      </c>
      <c r="D3" s="9" t="s">
        <v>136</v>
      </c>
      <c r="E3" s="8" t="s">
        <v>79</v>
      </c>
      <c r="F3" s="16" t="e">
        <f>F5*F6</f>
        <v>#VALUE!</v>
      </c>
    </row>
    <row r="4" spans="1:6" s="105" customFormat="1" ht="32.1">
      <c r="A4" s="105" t="s">
        <v>9</v>
      </c>
      <c r="B4" s="105" t="s">
        <v>83</v>
      </c>
      <c r="C4" s="105" t="s">
        <v>12</v>
      </c>
      <c r="D4" s="106" t="s">
        <v>232</v>
      </c>
      <c r="E4" s="105" t="s">
        <v>10</v>
      </c>
      <c r="F4" s="107" t="s">
        <v>233</v>
      </c>
    </row>
    <row r="5" spans="1:6" s="8" customFormat="1" ht="48.95">
      <c r="A5" s="8" t="s">
        <v>9</v>
      </c>
      <c r="B5" s="8" t="s">
        <v>80</v>
      </c>
      <c r="C5" s="13" t="s">
        <v>234</v>
      </c>
      <c r="D5" s="11" t="s">
        <v>235</v>
      </c>
      <c r="E5" s="8" t="s">
        <v>10</v>
      </c>
      <c r="F5" s="16" t="s">
        <v>236</v>
      </c>
    </row>
    <row r="6" spans="1:6" ht="33">
      <c r="A6" t="s">
        <v>9</v>
      </c>
      <c r="B6" t="s">
        <v>111</v>
      </c>
      <c r="C6" t="s">
        <v>237</v>
      </c>
      <c r="D6" s="6" t="s">
        <v>238</v>
      </c>
      <c r="E6" t="s">
        <v>79</v>
      </c>
    </row>
    <row r="7" spans="1:6" s="5" customFormat="1" ht="18.95">
      <c r="A7" s="3"/>
      <c r="B7" s="4"/>
      <c r="C7" s="4"/>
      <c r="D7" s="3" t="s">
        <v>239</v>
      </c>
      <c r="E7" s="4"/>
      <c r="F7" s="4"/>
    </row>
    <row r="8" spans="1:6" s="8" customFormat="1" ht="48.95">
      <c r="A8" s="8" t="s">
        <v>10</v>
      </c>
      <c r="B8" s="8" t="s">
        <v>80</v>
      </c>
      <c r="C8" s="8" t="s">
        <v>240</v>
      </c>
      <c r="D8" s="9" t="s">
        <v>241</v>
      </c>
      <c r="E8" s="8" t="s">
        <v>10</v>
      </c>
      <c r="F8" s="10">
        <v>1</v>
      </c>
    </row>
    <row r="9" spans="1:6" s="5" customFormat="1" ht="18.95">
      <c r="A9" s="3"/>
      <c r="B9" s="4"/>
      <c r="C9" s="4"/>
      <c r="D9" s="3" t="s">
        <v>242</v>
      </c>
      <c r="E9" s="4"/>
      <c r="F9" s="4"/>
    </row>
    <row r="10" spans="1:6" s="8" customFormat="1" ht="48.95">
      <c r="A10" s="8" t="s">
        <v>10</v>
      </c>
      <c r="B10" s="8" t="s">
        <v>80</v>
      </c>
      <c r="C10" s="8" t="s">
        <v>240</v>
      </c>
      <c r="D10" s="9" t="s">
        <v>241</v>
      </c>
      <c r="E10" s="8" t="s">
        <v>10</v>
      </c>
      <c r="F10" s="10">
        <v>0.9</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B3320-5633-5548-8006-2F36CD4372F7}">
  <dimension ref="A1:F4"/>
  <sheetViews>
    <sheetView workbookViewId="0">
      <selection activeCell="D12" sqref="D12"/>
    </sheetView>
  </sheetViews>
  <sheetFormatPr defaultColWidth="11.42578125" defaultRowHeight="15"/>
  <cols>
    <col min="1" max="1" width="18.42578125" customWidth="1"/>
    <col min="2" max="3" width="16.7109375" customWidth="1"/>
    <col min="4" max="4" width="44.28515625" customWidth="1"/>
    <col min="5" max="5" width="27.7109375" customWidth="1"/>
    <col min="6" max="6" width="140.85546875" customWidth="1"/>
  </cols>
  <sheetData>
    <row r="1" spans="1:6" s="1" customFormat="1" ht="18.95">
      <c r="A1" s="1" t="s">
        <v>0</v>
      </c>
      <c r="B1" s="1" t="s">
        <v>3</v>
      </c>
      <c r="C1" s="1" t="s">
        <v>5</v>
      </c>
      <c r="D1" s="2" t="s">
        <v>6</v>
      </c>
      <c r="E1" s="2" t="s">
        <v>2</v>
      </c>
      <c r="F1" s="1" t="s">
        <v>7</v>
      </c>
    </row>
    <row r="2" spans="1:6" s="5" customFormat="1" ht="18.95">
      <c r="A2" s="3"/>
      <c r="B2" s="4"/>
      <c r="C2" s="4"/>
      <c r="D2" s="3" t="s">
        <v>243</v>
      </c>
      <c r="E2" s="4"/>
      <c r="F2" s="4"/>
    </row>
    <row r="3" spans="1:6" ht="33">
      <c r="A3" t="s">
        <v>9</v>
      </c>
      <c r="B3" t="s">
        <v>111</v>
      </c>
      <c r="C3" s="14" t="s">
        <v>135</v>
      </c>
      <c r="D3" s="6" t="s">
        <v>136</v>
      </c>
      <c r="E3" t="s">
        <v>9</v>
      </c>
      <c r="F3" s="73"/>
    </row>
    <row r="4" spans="1:6" s="105" customFormat="1" ht="84" customHeight="1">
      <c r="A4" s="105" t="s">
        <v>9</v>
      </c>
      <c r="B4" s="105" t="s">
        <v>244</v>
      </c>
      <c r="C4" s="105" t="s">
        <v>245</v>
      </c>
      <c r="D4" s="106" t="s">
        <v>246</v>
      </c>
      <c r="E4" s="105" t="s">
        <v>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Dalis Rae De La Mora</dc:creator>
  <cp:keywords/>
  <dc:description/>
  <cp:lastModifiedBy>Jailine Molina</cp:lastModifiedBy>
  <cp:revision/>
  <dcterms:created xsi:type="dcterms:W3CDTF">2023-08-21T18:07:01Z</dcterms:created>
  <dcterms:modified xsi:type="dcterms:W3CDTF">2023-11-02T16:43:29Z</dcterms:modified>
  <cp:category/>
  <cp:contentStatus/>
</cp:coreProperties>
</file>