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drawings/drawing1.xml" ContentType="application/vnd.openxmlformats-officedocument.drawing+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comments12.xml" ContentType="application/vnd.openxmlformats-officedocument.spreadsheetml.comments+xml"/>
  <Override PartName="/xl/threadedComments/threadedComment12.xml" ContentType="application/vnd.ms-excel.threadedcomments+xml"/>
  <Override PartName="/xl/comments13.xml" ContentType="application/vnd.openxmlformats-officedocument.spreadsheetml.comments+xml"/>
  <Override PartName="/xl/threadedComments/threadedComment13.xml" ContentType="application/vnd.ms-excel.threadedcomments+xml"/>
  <Override PartName="/xl/comments14.xml" ContentType="application/vnd.openxmlformats-officedocument.spreadsheetml.comments+xml"/>
  <Override PartName="/xl/threadedComments/threadedComment14.xml" ContentType="application/vnd.ms-excel.threadedcomments+xml"/>
  <Override PartName="/xl/comments15.xml" ContentType="application/vnd.openxmlformats-officedocument.spreadsheetml.comments+xml"/>
  <Override PartName="/xl/threadedComments/threadedComment15.xml" ContentType="application/vnd.ms-excel.threadedcomments+xml"/>
  <Override PartName="/xl/comments16.xml" ContentType="application/vnd.openxmlformats-officedocument.spreadsheetml.comments+xml"/>
  <Override PartName="/xl/threadedComments/threadedComment16.xml" ContentType="application/vnd.ms-excel.threadedcomments+xml"/>
  <Override PartName="/xl/comments17.xml" ContentType="application/vnd.openxmlformats-officedocument.spreadsheetml.comments+xml"/>
  <Override PartName="/xl/threadedComments/threadedComment17.xml" ContentType="application/vnd.ms-excel.threadedcomments+xml"/>
  <Override PartName="/xl/drawings/drawing2.xml" ContentType="application/vnd.openxmlformats-officedocument.drawing+xml"/>
  <Override PartName="/xl/persons/person.xml" ContentType="application/vnd.ms-excel.person+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09"/>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A/"/>
    </mc:Choice>
  </mc:AlternateContent>
  <xr:revisionPtr revIDLastSave="0" documentId="8_{7874BFEA-E831-4A46-A76C-E116A00398D2}" xr6:coauthVersionLast="47" xr6:coauthVersionMax="47" xr10:uidLastSave="{00000000-0000-0000-0000-000000000000}"/>
  <bookViews>
    <workbookView xWindow="1160" yWindow="820" windowWidth="27640" windowHeight="16180" firstSheet="8" activeTab="8" xr2:uid="{7CA4505D-C3EE-D44D-A20B-1E58640558CA}"/>
  </bookViews>
  <sheets>
    <sheet name="AMS-I.A." sheetId="1" r:id="rId1"/>
    <sheet name="ACM0002 Geothermal &amp; Hydro" sheetId="7" r:id="rId2"/>
    <sheet name="Power Density Integrated" sheetId="8" r:id="rId3"/>
    <sheet name="Tool 05" sheetId="6" r:id="rId4"/>
    <sheet name="Tool 05 Power Plants" sheetId="4" r:id="rId5"/>
    <sheet name="Tool 05 Avg Net Calorific V" sheetId="5" r:id="rId6"/>
    <sheet name="Tool 05 Fuel Type Emission" sheetId="3" r:id="rId7"/>
    <sheet name="Tool 33 " sheetId="2" r:id="rId8"/>
    <sheet name="Tool 16" sheetId="29" r:id="rId9"/>
    <sheet name="Biomass Emissions Summary Tab " sheetId="10" r:id="rId10"/>
    <sheet name="Tool 16 Dropdown Items" sheetId="11" r:id="rId11"/>
    <sheet name="Tool 16 Default Values" sheetId="12" r:id="rId12"/>
    <sheet name="Tool 03" sheetId="13" r:id="rId13"/>
    <sheet name="Tool 04 - SWDS-Yearly" sheetId="14" r:id="rId14"/>
    <sheet name="SWDS Emissions Summary Tab " sheetId="15" r:id="rId15"/>
    <sheet name="Tool 04 Dropdown Items" sheetId="16" r:id="rId16"/>
    <sheet name="Tool 12 - Freight Trains" sheetId="17" r:id="rId17"/>
    <sheet name="Tool 12 Emissions Summary Tab" sheetId="18" r:id="rId18"/>
    <sheet name="Tool 12 Dropdown Items" sheetId="19" r:id="rId19"/>
    <sheet name="Tool 13" sheetId="20" r:id="rId20"/>
    <sheet name="MCF Defaults" sheetId="21" r:id="rId21"/>
    <sheet name="Tool 05.1" sheetId="22" r:id="rId22"/>
    <sheet name="Tool 05.2 Power Plants" sheetId="23" r:id="rId23"/>
    <sheet name="Tool 05.3 Default Values" sheetId="24" r:id="rId24"/>
    <sheet name="Tool 14" sheetId="26" r:id="rId25"/>
    <sheet name="Tool 01" sheetId="27" r:id="rId26"/>
    <sheet name="IWA Properties" sheetId="28" r:id="rId27"/>
  </sheets>
  <externalReferences>
    <externalReference r:id="rId28"/>
    <externalReference r:id="rId29"/>
    <externalReference r:id="rId30"/>
    <externalReference r:id="rId31"/>
    <externalReference r:id="rId32"/>
    <externalReference r:id="rId33"/>
    <externalReference r:id="rId34"/>
  </externalReferenc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36" i="29" l="1"/>
  <c r="D135" i="29"/>
  <c r="D134" i="29"/>
  <c r="C134" i="29"/>
  <c r="D133" i="29"/>
  <c r="C133" i="29"/>
  <c r="D132" i="29"/>
  <c r="C132" i="29"/>
  <c r="D131" i="29"/>
  <c r="C131" i="29"/>
  <c r="D130" i="29"/>
  <c r="C130" i="29"/>
  <c r="D129" i="29"/>
  <c r="D128" i="29"/>
  <c r="D127" i="29"/>
  <c r="D126" i="29"/>
  <c r="D125" i="29"/>
  <c r="D124" i="29"/>
  <c r="D123" i="29"/>
  <c r="C123" i="29"/>
  <c r="D122" i="29"/>
  <c r="C122" i="29"/>
  <c r="D121" i="29"/>
  <c r="C121" i="29"/>
  <c r="D120" i="29"/>
  <c r="D119" i="29"/>
  <c r="D118" i="29"/>
  <c r="D117" i="29"/>
  <c r="D116" i="29"/>
  <c r="C116" i="29"/>
  <c r="D115" i="29"/>
  <c r="D114" i="29"/>
  <c r="D113" i="29"/>
  <c r="D112" i="29"/>
  <c r="D111" i="29"/>
  <c r="C111" i="29"/>
  <c r="D110" i="29"/>
  <c r="D109" i="29"/>
  <c r="D108" i="29"/>
  <c r="D107" i="29"/>
  <c r="C107" i="29"/>
  <c r="D106" i="29"/>
  <c r="D105" i="29"/>
  <c r="D104" i="29"/>
  <c r="D103" i="29"/>
  <c r="D102" i="29"/>
  <c r="D101" i="29"/>
  <c r="C101" i="29"/>
  <c r="D100" i="29"/>
  <c r="D99" i="29"/>
  <c r="D98" i="29"/>
  <c r="D97" i="29"/>
  <c r="D96" i="29"/>
  <c r="D95" i="29"/>
  <c r="C95" i="29"/>
  <c r="D94" i="29"/>
  <c r="D93" i="29"/>
  <c r="D92" i="29"/>
  <c r="D91" i="29"/>
  <c r="D90" i="29"/>
  <c r="D89" i="29"/>
  <c r="D88" i="29"/>
  <c r="D87" i="29"/>
  <c r="D86" i="29"/>
  <c r="D85" i="29"/>
  <c r="C85" i="29"/>
  <c r="C91" i="29" s="1"/>
  <c r="D84" i="29"/>
  <c r="D83" i="29"/>
  <c r="D82" i="29"/>
  <c r="D81" i="29"/>
  <c r="D80" i="29"/>
  <c r="D79" i="29"/>
  <c r="C79" i="29"/>
  <c r="D78" i="29"/>
  <c r="D77" i="29"/>
  <c r="D76" i="29"/>
  <c r="D75" i="29"/>
  <c r="D74" i="29"/>
  <c r="D73" i="29"/>
  <c r="D72" i="29"/>
  <c r="D71" i="29"/>
  <c r="D70" i="29"/>
  <c r="C70" i="29"/>
  <c r="D69" i="29"/>
  <c r="D68" i="29"/>
  <c r="D66" i="29"/>
  <c r="C66" i="29"/>
  <c r="D65" i="29"/>
  <c r="D64" i="29"/>
  <c r="D63" i="29"/>
  <c r="D62" i="29"/>
  <c r="D61" i="29"/>
  <c r="D60" i="29"/>
  <c r="D59" i="29"/>
  <c r="D58" i="29"/>
  <c r="D57" i="29"/>
  <c r="D56" i="29"/>
  <c r="D55" i="29"/>
  <c r="D54" i="29"/>
  <c r="C54" i="29"/>
  <c r="C56" i="29" s="1"/>
  <c r="D53" i="29"/>
  <c r="D52" i="29"/>
  <c r="D51" i="29"/>
  <c r="D50" i="29"/>
  <c r="D48" i="29"/>
  <c r="C48" i="29"/>
  <c r="D47" i="29"/>
  <c r="C47" i="29"/>
  <c r="D46" i="29"/>
  <c r="D45" i="29"/>
  <c r="D44" i="29"/>
  <c r="D43" i="29"/>
  <c r="C43" i="29"/>
  <c r="D42" i="29"/>
  <c r="D41" i="29"/>
  <c r="D40" i="29"/>
  <c r="D38" i="29"/>
  <c r="C38" i="29"/>
  <c r="D37" i="29"/>
  <c r="D36" i="29"/>
  <c r="D35" i="29"/>
  <c r="D34" i="29"/>
  <c r="D33" i="29"/>
  <c r="D32" i="29"/>
  <c r="D31" i="29"/>
  <c r="D30" i="29"/>
  <c r="D29" i="29"/>
  <c r="D28" i="29"/>
  <c r="D27" i="29"/>
  <c r="D26" i="29"/>
  <c r="D25" i="29"/>
  <c r="D24" i="29"/>
  <c r="D23" i="29"/>
  <c r="D22" i="29"/>
  <c r="D21" i="29"/>
  <c r="D20" i="29"/>
  <c r="D19" i="29"/>
  <c r="C17" i="29"/>
  <c r="D16" i="29"/>
  <c r="D15" i="29"/>
  <c r="D14" i="29"/>
  <c r="D13" i="29"/>
  <c r="D12" i="29"/>
  <c r="D11" i="29"/>
  <c r="D10" i="29"/>
  <c r="D9" i="29"/>
  <c r="D8" i="29"/>
  <c r="D7" i="29"/>
  <c r="D6" i="29"/>
  <c r="C124" i="29" l="1"/>
  <c r="C136" i="29" s="1"/>
  <c r="C71" i="29"/>
  <c r="C17" i="17" l="1"/>
  <c r="F82" i="26"/>
  <c r="F79" i="26" s="1"/>
  <c r="F74" i="26"/>
  <c r="F72" i="26"/>
  <c r="F70" i="26"/>
  <c r="F67" i="26" s="1"/>
  <c r="F63" i="26"/>
  <c r="F56" i="26"/>
  <c r="F49" i="26"/>
  <c r="F42" i="26"/>
  <c r="F35" i="26"/>
  <c r="F34" i="26"/>
  <c r="F33" i="26"/>
  <c r="F32" i="26"/>
  <c r="F37" i="26" s="1"/>
  <c r="F29" i="26" s="1"/>
  <c r="F28" i="26" s="1"/>
  <c r="F31" i="26"/>
  <c r="F26" i="26"/>
  <c r="F24" i="26"/>
  <c r="F23" i="26"/>
  <c r="F19" i="26" s="1"/>
  <c r="F17" i="26"/>
  <c r="F16" i="26"/>
  <c r="F15" i="26"/>
  <c r="F13" i="26" s="1"/>
  <c r="G35" i="23"/>
  <c r="G34" i="23"/>
  <c r="G23" i="23"/>
  <c r="G22" i="23"/>
  <c r="G11" i="23"/>
  <c r="G10" i="23"/>
  <c r="G8" i="23" s="1"/>
  <c r="G38" i="22"/>
  <c r="G37" i="22"/>
  <c r="G23" i="22"/>
  <c r="G22" i="22"/>
  <c r="G17" i="22"/>
  <c r="G16" i="22" s="1"/>
  <c r="G12" i="22"/>
  <c r="G11" i="22" s="1"/>
  <c r="G7" i="22"/>
  <c r="G6" i="22" s="1"/>
  <c r="G65" i="20"/>
  <c r="G62" i="20"/>
  <c r="G55" i="20"/>
  <c r="G54" i="20"/>
  <c r="G53" i="20"/>
  <c r="G51" i="20"/>
  <c r="G50" i="20"/>
  <c r="G49" i="20"/>
  <c r="G44" i="20"/>
  <c r="G43" i="20" s="1"/>
  <c r="G28" i="20"/>
  <c r="G27" i="20" s="1"/>
  <c r="G24" i="20"/>
  <c r="G22" i="20" s="1"/>
  <c r="G20" i="20"/>
  <c r="G16" i="20"/>
  <c r="G9" i="20"/>
  <c r="I17" i="18"/>
  <c r="I13" i="18"/>
  <c r="H13" i="18"/>
  <c r="G13" i="18"/>
  <c r="F13" i="18"/>
  <c r="E13" i="18"/>
  <c r="D13" i="18"/>
  <c r="C13" i="18"/>
  <c r="B13" i="18"/>
  <c r="I3" i="18"/>
  <c r="I7" i="18" s="1"/>
  <c r="H3" i="18"/>
  <c r="G3" i="18"/>
  <c r="F3" i="18"/>
  <c r="E3" i="18"/>
  <c r="D3" i="18"/>
  <c r="C3" i="18"/>
  <c r="B3" i="18"/>
  <c r="A3" i="18"/>
  <c r="D21" i="17"/>
  <c r="D20" i="17"/>
  <c r="C20" i="17"/>
  <c r="C21" i="17" s="1"/>
  <c r="D19" i="17"/>
  <c r="D18" i="17"/>
  <c r="D17" i="17"/>
  <c r="D16" i="17"/>
  <c r="D15" i="17"/>
  <c r="D14" i="17"/>
  <c r="D2" i="15"/>
  <c r="D8" i="15" s="1"/>
  <c r="C2" i="15"/>
  <c r="C8" i="15" s="1"/>
  <c r="B2" i="15"/>
  <c r="B8" i="15" s="1"/>
  <c r="C85" i="14"/>
  <c r="C84" i="14"/>
  <c r="C75" i="14"/>
  <c r="D71" i="14"/>
  <c r="D69" i="14"/>
  <c r="C69" i="14"/>
  <c r="C83" i="14" s="1"/>
  <c r="D66" i="14"/>
  <c r="C66" i="14"/>
  <c r="D65" i="14"/>
  <c r="D64" i="14"/>
  <c r="D62" i="14"/>
  <c r="C62" i="14"/>
  <c r="C82" i="14" s="1"/>
  <c r="D59" i="14"/>
  <c r="C59" i="14"/>
  <c r="D58" i="14"/>
  <c r="D57" i="14"/>
  <c r="D56" i="14"/>
  <c r="D54" i="14"/>
  <c r="C54" i="14"/>
  <c r="D53" i="14"/>
  <c r="D52" i="14"/>
  <c r="D51" i="14"/>
  <c r="D50" i="14"/>
  <c r="D48" i="14"/>
  <c r="C48" i="14"/>
  <c r="D45" i="14"/>
  <c r="C45" i="14"/>
  <c r="C76" i="14" s="1"/>
  <c r="D44" i="14"/>
  <c r="C44" i="14"/>
  <c r="D43" i="14"/>
  <c r="D42" i="14"/>
  <c r="D40" i="14"/>
  <c r="D38" i="14"/>
  <c r="D35" i="14"/>
  <c r="C35" i="14"/>
  <c r="D34" i="14"/>
  <c r="C34" i="14"/>
  <c r="D33" i="14"/>
  <c r="C33" i="14"/>
  <c r="D32" i="14"/>
  <c r="C32" i="14"/>
  <c r="D31" i="14"/>
  <c r="C31" i="14"/>
  <c r="D30" i="14"/>
  <c r="C30" i="14"/>
  <c r="D29" i="14"/>
  <c r="C29" i="14"/>
  <c r="D28" i="14"/>
  <c r="C28" i="14"/>
  <c r="D26" i="14"/>
  <c r="C26" i="14"/>
  <c r="C77" i="14" s="1"/>
  <c r="D22" i="14"/>
  <c r="D21" i="14"/>
  <c r="D19" i="14"/>
  <c r="D18" i="14"/>
  <c r="D17" i="14"/>
  <c r="D16" i="14"/>
  <c r="D15" i="14"/>
  <c r="D14" i="14"/>
  <c r="D13" i="14"/>
  <c r="D12" i="14"/>
  <c r="D11" i="14"/>
  <c r="G37" i="13"/>
  <c r="G33" i="13"/>
  <c r="G32" i="13"/>
  <c r="G30" i="13"/>
  <c r="G28" i="13" s="1"/>
  <c r="G19" i="13"/>
  <c r="G15" i="13"/>
  <c r="G14" i="13"/>
  <c r="G12" i="13" s="1"/>
  <c r="H122" i="1" a="1"/>
  <c r="H122" i="1" s="1"/>
  <c r="H114" i="1"/>
  <c r="H113" i="1"/>
  <c r="H112" i="1"/>
  <c r="H111" i="1"/>
  <c r="H110" i="1"/>
  <c r="G32" i="23" l="1"/>
  <c r="G20" i="23"/>
  <c r="G3" i="20"/>
  <c r="G7" i="23"/>
  <c r="G19" i="23"/>
  <c r="G31" i="23"/>
  <c r="C86" i="14"/>
  <c r="G10" i="13"/>
  <c r="G3" i="13"/>
  <c r="H108" i="1"/>
  <c r="G4" i="23" l="1"/>
  <c r="G3" i="23"/>
  <c r="B12" i="10"/>
  <c r="B11" i="10"/>
  <c r="B10" i="10"/>
  <c r="B9" i="10"/>
  <c r="B6" i="10"/>
  <c r="H106" i="1" s="1"/>
  <c r="B5" i="10"/>
  <c r="H104" i="1" s="1"/>
  <c r="B4" i="10"/>
  <c r="H105" i="1" s="1"/>
  <c r="B3" i="10"/>
  <c r="H103" i="1" s="1"/>
  <c r="B2" i="10"/>
  <c r="H129" i="1"/>
  <c r="H128" i="1"/>
  <c r="H127" i="1"/>
  <c r="G21" i="7"/>
  <c r="G3" i="8"/>
  <c r="G6" i="8" s="1"/>
  <c r="G15" i="7"/>
  <c r="G14" i="7"/>
  <c r="G5" i="7" s="1"/>
  <c r="G3" i="7" s="1"/>
  <c r="G13" i="7"/>
  <c r="G7" i="7"/>
  <c r="G4" i="7"/>
  <c r="B7" i="10" l="1"/>
  <c r="H102" i="1"/>
  <c r="H100" i="1" s="1"/>
  <c r="B13" i="10"/>
  <c r="H126" i="1"/>
  <c r="F39" i="6"/>
  <c r="F38" i="6"/>
  <c r="F33" i="6"/>
  <c r="F32" i="6"/>
  <c r="F15" i="6"/>
  <c r="F14" i="6"/>
  <c r="F13" i="6"/>
  <c r="F21" i="4"/>
  <c r="F20" i="4"/>
  <c r="F9" i="4"/>
  <c r="F8" i="4"/>
  <c r="F5" i="4" l="1"/>
  <c r="F4" i="4"/>
  <c r="F17" i="4"/>
  <c r="F16" i="4"/>
  <c r="H93" i="1" l="1"/>
  <c r="H87" i="1"/>
  <c r="H80" i="1"/>
  <c r="H75" i="1"/>
  <c r="H65" i="1"/>
  <c r="H59" i="1"/>
  <c r="H50" i="1"/>
  <c r="H84" i="1" l="1"/>
  <c r="H71" i="1"/>
  <c r="H56" i="1"/>
  <c r="H44" i="1" l="1"/>
  <c r="H41" i="1" s="1"/>
  <c r="H37"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tc={26D3403C-65D7-484A-B53E-355EDB6D546C}</author>
    <author>tc={F6AB8585-A22D-CD44-8A1F-4DAEC9C0C6AE}</author>
    <author>tc={6DB9F140-3086-9143-9DF6-8DB49A683AEA}</author>
    <author>tc={B4CBA19C-5AC9-EF4D-8DD6-CF65CA34E9EE}</author>
    <author>tc={CFD729E1-041E-4B42-9BB3-CAB91DA65662}</author>
    <author>tc={8621C397-B410-5842-A475-C841C4536984}</author>
    <author>tc={7BB37307-7D93-BA40-A00E-965292CDAC83}</author>
    <author>tc={2469AB85-A2A7-2E41-82A6-F43888B99EBA}</author>
    <author>tc={A7924862-8D1B-3743-8322-025479EFE7BA}</author>
    <author>tc={8C868D16-C278-5440-B27F-DAC5EE3D8C89}</author>
    <author>tc={FF5999AA-1CF1-7341-9CC5-0F188CCBB88A}</author>
    <author>tc={A80C3BBC-D07A-1E4C-935A-4A921D595CA6}</author>
    <author>tc={F0E6FAAD-187B-FE42-A3B6-189268F8BCF9}</author>
    <author>tc={5337B32B-C888-0A42-B9E2-BC2EF5AF438C}</author>
    <author>tc={90A26CAA-3AA0-9F46-941C-E47906230798}</author>
    <author>tc={FBCB2B4F-4096-B146-AADD-806749235DB6}</author>
    <author>tc={5D8E2037-3365-684D-A048-D2FC331F0646}</author>
    <author>tc={9E7DF1BF-DFB1-D240-9700-D16F8A4F3AB0}</author>
  </authors>
  <commentList>
    <comment ref="G36" authorId="0" shapeId="0" xr:uid="{26D3403C-65D7-484A-B53E-355EDB6D546C}">
      <text>
        <t>[Threaded comment]
Your version of Excel allows you to read this threaded comment; however, any edits to it will get removed if the file is opened in a newer version of Excel. Learn more: https://go.microsoft.com/fwlink/?linkid=870924
Comment:
    Eq 1</t>
      </text>
    </comment>
    <comment ref="G37" authorId="1" shapeId="0" xr:uid="{F6AB8585-A22D-CD44-8A1F-4DAEC9C0C6AE}">
      <text>
        <t>[Threaded comment]
Your version of Excel allows you to read this threaded comment; however, any edits to it will get removed if the file is opened in a newer version of Excel. Learn more: https://go.microsoft.com/fwlink/?linkid=870924
Comment:
    Eq 2</t>
      </text>
    </comment>
    <comment ref="G70" authorId="2" shapeId="0" xr:uid="{6DB9F140-3086-9143-9DF6-8DB49A683AEA}">
      <text>
        <t>[Threaded comment]
Your version of Excel allows you to read this threaded comment; however, any edits to it will get removed if the file is opened in a newer version of Excel. Learn more: https://go.microsoft.com/fwlink/?linkid=870924
Comment:
    Eq 3</t>
      </text>
    </comment>
    <comment ref="G71" authorId="3" shapeId="0" xr:uid="{B4CBA19C-5AC9-EF4D-8DD6-CF65CA34E9EE}">
      <text>
        <t>[Threaded comment]
Your version of Excel allows you to read this threaded comment; however, any edits to it will get removed if the file is opened in a newer version of Excel. Learn more: https://go.microsoft.com/fwlink/?linkid=870924
Comment:
    Eq 4</t>
      </text>
    </comment>
    <comment ref="G84" authorId="4" shapeId="0" xr:uid="{CFD729E1-041E-4B42-9BB3-CAB91DA65662}">
      <text>
        <t>[Threaded comment]
Your version of Excel allows you to read this threaded comment; however, any edits to it will get removed if the file is opened in a newer version of Excel. Learn more: https://go.microsoft.com/fwlink/?linkid=870924
Comment:
    Eq 5</t>
      </text>
    </comment>
    <comment ref="G100" authorId="5" shapeId="0" xr:uid="{8621C397-B410-5842-A475-C841C4536984}">
      <text>
        <t>[Threaded comment]
Your version of Excel allows you to read this threaded comment; however, any edits to it will get removed if the file is opened in a newer version of Excel. Learn more: https://go.microsoft.com/fwlink/?linkid=870924
Comment:
    ACM0002 Geothermal &amp; Hydro</t>
      </text>
    </comment>
    <comment ref="G102" authorId="6" shapeId="0" xr:uid="{7BB37307-7D93-BA40-A00E-965292CDAC83}">
      <text>
        <t>[Threaded comment]
Your version of Excel allows you to read this threaded comment; however, any edits to it will get removed if the file is opened in a newer version of Excel. Learn more: https://go.microsoft.com/fwlink/?linkid=870924
Comment:
    TOOL16</t>
      </text>
    </comment>
    <comment ref="G103" authorId="7" shapeId="0" xr:uid="{2469AB85-A2A7-2E41-82A6-F43888B99EBA}">
      <text>
        <t>[Threaded comment]
Your version of Excel allows you to read this threaded comment; however, any edits to it will get removed if the file is opened in a newer version of Excel. Learn more: https://go.microsoft.com/fwlink/?linkid=870924
Comment:
    TOOL16</t>
      </text>
    </comment>
    <comment ref="G104" authorId="8" shapeId="0" xr:uid="{A7924862-8D1B-3743-8322-025479EFE7BA}">
      <text>
        <t>[Threaded comment]
Your version of Excel allows you to read this threaded comment; however, any edits to it will get removed if the file is opened in a newer version of Excel. Learn more: https://go.microsoft.com/fwlink/?linkid=870924
Comment:
    TOOL16</t>
      </text>
    </comment>
    <comment ref="G105" authorId="9" shapeId="0" xr:uid="{8C868D16-C278-5440-B27F-DAC5EE3D8C89}">
      <text>
        <t>[Threaded comment]
Your version of Excel allows you to read this threaded comment; however, any edits to it will get removed if the file is opened in a newer version of Excel. Learn more: https://go.microsoft.com/fwlink/?linkid=870924
Comment:
    TOOL16</t>
      </text>
    </comment>
    <comment ref="G106" authorId="10" shapeId="0" xr:uid="{FF5999AA-1CF1-7341-9CC5-0F188CCBB88A}">
      <text>
        <t>[Threaded comment]
Your version of Excel allows you to read this threaded comment; however, any edits to it will get removed if the file is opened in a newer version of Excel. Learn more: https://go.microsoft.com/fwlink/?linkid=870924
Comment:
    TOOL16</t>
      </text>
    </comment>
    <comment ref="G108" authorId="11" shapeId="0" xr:uid="{A80C3BBC-D07A-1E4C-935A-4A921D595CA6}">
      <text>
        <t>[Threaded comment]
Your version of Excel allows you to read this threaded comment; however, any edits to it will get removed if the file is opened in a newer version of Excel. Learn more: https://go.microsoft.com/fwlink/?linkid=870924
Comment:
    ACM0002 Geothermal &amp; Hydro</t>
      </text>
    </comment>
    <comment ref="G110" authorId="12" shapeId="0" xr:uid="{F0E6FAAD-187B-FE42-A3B6-189268F8BCF9}">
      <text>
        <t>[Threaded comment]
Your version of Excel allows you to read this threaded comment; however, any edits to it will get removed if the file is opened in a newer version of Excel. Learn more: https://go.microsoft.com/fwlink/?linkid=870924
Comment:
    TOOL16</t>
      </text>
    </comment>
    <comment ref="G111" authorId="13" shapeId="0" xr:uid="{5337B32B-C888-0A42-B9E2-BC2EF5AF438C}">
      <text>
        <t>[Threaded comment]
Your version of Excel allows you to read this threaded comment; however, any edits to it will get removed if the file is opened in a newer version of Excel. Learn more: https://go.microsoft.com/fwlink/?linkid=870924
Comment:
    TOOL16</t>
      </text>
    </comment>
    <comment ref="G112" authorId="14" shapeId="0" xr:uid="{90A26CAA-3AA0-9F46-941C-E47906230798}">
      <text>
        <t>[Threaded comment]
Your version of Excel allows you to read this threaded comment; however, any edits to it will get removed if the file is opened in a newer version of Excel. Learn more: https://go.microsoft.com/fwlink/?linkid=870924
Comment:
    TOOL16</t>
      </text>
    </comment>
    <comment ref="G113" authorId="15" shapeId="0" xr:uid="{FBCB2B4F-4096-B146-AADD-806749235DB6}">
      <text>
        <t>[Threaded comment]
Your version of Excel allows you to read this threaded comment; however, any edits to it will get removed if the file is opened in a newer version of Excel. Learn more: https://go.microsoft.com/fwlink/?linkid=870924
Comment:
    TOOL16</t>
      </text>
    </comment>
    <comment ref="G114" authorId="16" shapeId="0" xr:uid="{5D8E2037-3365-684D-A048-D2FC331F0646}">
      <text>
        <t>[Threaded comment]
Your version of Excel allows you to read this threaded comment; however, any edits to it will get removed if the file is opened in a newer version of Excel. Learn more: https://go.microsoft.com/fwlink/?linkid=870924
Comment:
    TOOL16</t>
      </text>
    </comment>
    <comment ref="G122" authorId="17" shapeId="0" xr:uid="{9E7DF1BF-DFB1-D240-9700-D16F8A4F3AB0}">
      <text>
        <t>[Threaded comment]
Your version of Excel allows you to read this threaded comment; however, any edits to it will get removed if the file is opened in a newer version of Excel. Learn more: https://go.microsoft.com/fwlink/?linkid=870924
Comment:
    TOOL16</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tc={87BF3BD3-918D-C749-BAD5-6979CD3BB717}</author>
    <author>tc={1759444D-C0D0-CD42-A220-D7B22496CDA3}</author>
    <author>tc={702AC67C-5132-2C41-B279-96F4B8EC3AA9}</author>
    <author>tc={58A97CFC-607F-C64A-B3B3-85B5B215D55C}</author>
    <author>tc={26D0F9FB-5218-9141-A4A6-E1D4BBCAFC75}</author>
    <author>tc={BC74A192-0D46-3B45-B942-6B878EC477B9}</author>
    <author>tc={7FDDA259-A56F-294C-A886-298324E330E9}</author>
    <author>tc={9A75B998-310E-6A43-97E7-CC9407E4B2C0}</author>
  </authors>
  <commentList>
    <comment ref="B34" authorId="0" shapeId="0" xr:uid="{87BF3BD3-918D-C749-BAD5-6979CD3BB717}">
      <text>
        <t>[Threaded comment]
Your version of Excel allows you to read this threaded comment; however, any edits to it will get removed if the file is opened in a newer version of Excel. Learn more: https://go.microsoft.com/fwlink/?linkid=870924
Comment:
    Equation 3</t>
      </text>
    </comment>
    <comment ref="B35" authorId="1" shapeId="0" xr:uid="{1759444D-C0D0-CD42-A220-D7B22496CDA3}">
      <text>
        <t>[Threaded comment]
Your version of Excel allows you to read this threaded comment; however, any edits to it will get removed if the file is opened in a newer version of Excel. Learn more: https://go.microsoft.com/fwlink/?linkid=870924
Comment:
    Equation 4</t>
      </text>
    </comment>
    <comment ref="B44" authorId="2" shapeId="0" xr:uid="{702AC67C-5132-2C41-B279-96F4B8EC3AA9}">
      <text>
        <t>[Threaded comment]
Your version of Excel allows you to read this threaded comment; however, any edits to it will get removed if the file is opened in a newer version of Excel. Learn more: https://go.microsoft.com/fwlink/?linkid=870924
Comment:
    Equation 7</t>
      </text>
    </comment>
    <comment ref="B45" authorId="3" shapeId="0" xr:uid="{58A97CFC-607F-C64A-B3B3-85B5B215D55C}">
      <text>
        <t>[Threaded comment]
Your version of Excel allows you to read this threaded comment; however, any edits to it will get removed if the file is opened in a newer version of Excel. Learn more: https://go.microsoft.com/fwlink/?linkid=870924
Comment:
    Equation 5</t>
      </text>
    </comment>
    <comment ref="B54" authorId="4" shapeId="0" xr:uid="{26D0F9FB-5218-9141-A4A6-E1D4BBCAFC75}">
      <text>
        <t>[Threaded comment]
Your version of Excel allows you to read this threaded comment; however, any edits to it will get removed if the file is opened in a newer version of Excel. Learn more: https://go.microsoft.com/fwlink/?linkid=870924
Comment:
    Equation 9</t>
      </text>
    </comment>
    <comment ref="B59" authorId="5" shapeId="0" xr:uid="{BC74A192-0D46-3B45-B942-6B878EC477B9}">
      <text>
        <t>[Threaded comment]
Your version of Excel allows you to read this threaded comment; however, any edits to it will get removed if the file is opened in a newer version of Excel. Learn more: https://go.microsoft.com/fwlink/?linkid=870924
Comment:
    Equation 11</t>
      </text>
    </comment>
    <comment ref="B66" authorId="6" shapeId="0" xr:uid="{7FDDA259-A56F-294C-A886-298324E330E9}">
      <text>
        <t>[Threaded comment]
Your version of Excel allows you to read this threaded comment; however, any edits to it will get removed if the file is opened in a newer version of Excel. Learn more: https://go.microsoft.com/fwlink/?linkid=870924
Comment:
    Equation 12</t>
      </text>
    </comment>
    <comment ref="B86" authorId="7" shapeId="0" xr:uid="{9A75B998-310E-6A43-97E7-CC9407E4B2C0}">
      <text>
        <t>[Threaded comment]
Your version of Excel allows you to read this threaded comment; however, any edits to it will get removed if the file is opened in a newer version of Excel. Learn more: https://go.microsoft.com/fwlink/?linkid=870924
Comment:
    Equation 1</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tc={E035A680-0011-AD4E-81D8-2046E9517D86}</author>
  </authors>
  <commentList>
    <comment ref="A2" authorId="0" shapeId="0" xr:uid="{E035A680-0011-AD4E-81D8-2046E9517D86}">
      <text>
        <t>[Threaded comment]
Your version of Excel allows you to read this threaded comment; however, any edits to it will get removed if the file is opened in a newer version of Excel. Learn more: https://go.microsoft.com/fwlink/?linkid=870924
Comment:
    Add a line for each SWDS CH4 calculation instance added</t>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tc={91F5F009-7414-E444-B521-C50F439C59B4}</author>
  </authors>
  <commentList>
    <comment ref="A3" authorId="0" shapeId="0" xr:uid="{91F5F009-7414-E444-B521-C50F439C59B4}">
      <text>
        <t xml:space="preserve">[Threaded comment]
Your version of Excel allows you to read this threaded comment; however, any edits to it will get removed if the file is opened in a newer version of Excel. Learn more: https://go.microsoft.com/fwlink/?linkid=870924
Comment:
    Add a line for each transportation activity (f). </t>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tc={ACDF3E79-6A4B-704E-92FE-DA0B9DA87822}</author>
    <author>tc={4274C863-2A82-1B44-A646-5FB740BCF84E}</author>
    <author>tc={EB7794F0-BEF7-5C45-918C-912DF960379F}</author>
    <author>tc={B5D9AEF8-A625-CF4B-87CF-D8C8960EF7E1}</author>
    <author>tc={11E774C7-9FC9-9B41-A51F-DC2F959ED823}</author>
    <author>tc={D8053A43-10DD-E74D-A7F8-28902C0AD6CE}</author>
    <author>tc={5DB67B6D-FE36-264E-8BAD-BD756DD822B5}</author>
    <author>tc={BB7301B7-24AF-6340-9190-97B6F4F01B21}</author>
    <author>tc={0D65D85D-A7FC-6743-AA67-094B5BF4C11F}</author>
  </authors>
  <commentList>
    <comment ref="F9" authorId="0" shapeId="0" xr:uid="{ACDF3E79-6A4B-704E-92FE-DA0B9DA87822}">
      <text>
        <t>[Threaded comment]
Your version of Excel allows you to read this threaded comment; however, any edits to it will get removed if the file is opened in a newer version of Excel. Learn more: https://go.microsoft.com/fwlink/?linkid=870924
Comment:
    Eq 2</t>
      </text>
    </comment>
    <comment ref="F16" authorId="1" shapeId="0" xr:uid="{4274C863-2A82-1B44-A646-5FB740BCF84E}">
      <text>
        <t>[Threaded comment]
Your version of Excel allows you to read this threaded comment; however, any edits to it will get removed if the file is opened in a newer version of Excel. Learn more: https://go.microsoft.com/fwlink/?linkid=870924
Comment:
    Tool 05</t>
      </text>
    </comment>
    <comment ref="F20" authorId="2" shapeId="0" xr:uid="{EB7794F0-BEF7-5C45-918C-912DF960379F}">
      <text>
        <t>[Threaded comment]
Your version of Excel allows you to read this threaded comment; however, any edits to it will get removed if the file is opened in a newer version of Excel. Learn more: https://go.microsoft.com/fwlink/?linkid=870924
Comment:
    Tool 03</t>
      </text>
    </comment>
    <comment ref="F22" authorId="3" shapeId="0" xr:uid="{B5D9AEF8-A625-CF4B-87CF-D8C8960EF7E1}">
      <text>
        <t>[Threaded comment]
Your version of Excel allows you to read this threaded comment; however, any edits to it will get removed if the file is opened in a newer version of Excel. Learn more: https://go.microsoft.com/fwlink/?linkid=870924
Comment:
    Eq 4</t>
      </text>
    </comment>
    <comment ref="F27" authorId="4" shapeId="0" xr:uid="{11E774C7-9FC9-9B41-A51F-DC2F959ED823}">
      <text>
        <t>[Threaded comment]
Your version of Excel allows you to read this threaded comment; however, any edits to it will get removed if the file is opened in a newer version of Excel. Learn more: https://go.microsoft.com/fwlink/?linkid=870924
Comment:
    Eq 5</t>
      </text>
    </comment>
    <comment ref="F28" authorId="5" shapeId="0" xr:uid="{D8053A43-10DD-E74D-A7F8-28902C0AD6CE}">
      <text>
        <t>[Threaded comment]
Your version of Excel allows you to read this threaded comment; however, any edits to it will get removed if the file is opened in a newer version of Excel. Learn more: https://go.microsoft.com/fwlink/?linkid=870924
Comment:
    Eq 6 for option 1 and default for option 2</t>
      </text>
    </comment>
    <comment ref="F43" authorId="6" shapeId="0" xr:uid="{5DB67B6D-FE36-264E-8BAD-BD756DD822B5}">
      <text>
        <t>[Threaded comment]
Your version of Excel allows you to read this threaded comment; however, any edits to it will get removed if the file is opened in a newer version of Excel. Learn more: https://go.microsoft.com/fwlink/?linkid=870924
Comment:
    Eq 7</t>
      </text>
    </comment>
    <comment ref="F44" authorId="7" shapeId="0" xr:uid="{BB7301B7-24AF-6340-9190-97B6F4F01B21}">
      <text>
        <t>[Threaded comment]
Your version of Excel allows you to read this threaded comment; however, any edits to it will get removed if the file is opened in a newer version of Excel. Learn more: https://go.microsoft.com/fwlink/?linkid=870924
Comment:
    Eq 8 for option 1 and default for option 2</t>
      </text>
    </comment>
    <comment ref="F49" authorId="8" shapeId="0" xr:uid="{0D65D85D-A7FC-6743-AA67-094B5BF4C11F}">
      <text>
        <t xml:space="preserve">[Threaded comment]
Your version of Excel allows you to read this threaded comment; however, any edits to it will get removed if the file is opened in a newer version of Excel. Learn more: https://go.microsoft.com/fwlink/?linkid=870924
Comment:
    Eq 9 with if/then for run-off wastewater that is collected and re-circulated </t>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tc={13DF5B52-281B-DB48-9258-44E769F6C8DB}</author>
    <author>tc={34373172-DF46-FB44-BE7F-57B491CF25F5}</author>
    <author>tc={5FE5A2B3-6BDF-9D4E-B427-53E0E330EC59}</author>
    <author>tc={5EEB626A-159D-DE4A-A1E2-890D0A605219}</author>
    <author>tc={0E4206E0-14EC-F74D-9A54-93748DECF8D4}</author>
    <author>tc={068FE9D5-DECF-A24C-9C95-39EFEB0988EB}</author>
    <author>tc={56CCB49C-1569-784D-A262-DDA8C65308B8}</author>
    <author>tc={74C99BB0-B7A7-CB45-A36D-C2C88292F4F3}</author>
  </authors>
  <commentList>
    <comment ref="F6" authorId="0" shapeId="0" xr:uid="{13DF5B52-281B-DB48-9258-44E769F6C8DB}">
      <text>
        <t>[Threaded comment]
Your version of Excel allows you to read this threaded comment; however, any edits to it will get removed if the file is opened in a newer version of Excel. Learn more: https://go.microsoft.com/fwlink/?linkid=870924
Comment:
    Eq 1</t>
      </text>
    </comment>
    <comment ref="F11" authorId="1" shapeId="0" xr:uid="{34373172-DF46-FB44-BE7F-57B491CF25F5}">
      <text>
        <t>[Threaded comment]
Your version of Excel allows you to read this threaded comment; however, any edits to it will get removed if the file is opened in a newer version of Excel. Learn more: https://go.microsoft.com/fwlink/?linkid=870924
Comment:
    Eq 2</t>
      </text>
    </comment>
    <comment ref="F13" authorId="2" shapeId="0" xr:uid="{5FE5A2B3-6BDF-9D4E-B427-53E0E330EC59}">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F16" authorId="3" shapeId="0" xr:uid="{5EEB626A-159D-DE4A-A1E2-890D0A605219}">
      <text>
        <t>[Threaded comment]
Your version of Excel allows you to read this threaded comment; however, any edits to it will get removed if the file is opened in a newer version of Excel. Learn more: https://go.microsoft.com/fwlink/?linkid=870924
Comment:
    Eq 3</t>
      </text>
    </comment>
    <comment ref="F22" authorId="4" shapeId="0" xr:uid="{0E4206E0-14EC-F74D-9A54-93748DECF8D4}">
      <text>
        <t>[Threaded comment]
Your version of Excel allows you to read this threaded comment; however, any edits to it will get removed if the file is opened in a newer version of Excel. Learn more: https://go.microsoft.com/fwlink/?linkid=870924
Comment:
    Eq 7</t>
      </text>
    </comment>
    <comment ref="F23" authorId="5" shapeId="0" xr:uid="{068FE9D5-DECF-A24C-9C95-39EFEB0988EB}">
      <text>
        <t>[Threaded comment]
Your version of Excel allows you to read this threaded comment; however, any edits to it will get removed if the file is opened in a newer version of Excel. Learn more: https://go.microsoft.com/fwlink/?linkid=870924
Comment:
    Eq 8</t>
      </text>
    </comment>
    <comment ref="F37" authorId="6" shapeId="0" xr:uid="{56CCB49C-1569-784D-A262-DDA8C65308B8}">
      <text>
        <t>[Threaded comment]
Your version of Excel allows you to read this threaded comment; however, any edits to it will get removed if the file is opened in a newer version of Excel. Learn more: https://go.microsoft.com/fwlink/?linkid=870924
Comment:
    Eq 4</t>
      </text>
    </comment>
    <comment ref="F38" authorId="7" shapeId="0" xr:uid="{74C99BB0-B7A7-CB45-A36D-C2C88292F4F3}">
      <text>
        <t>[Threaded comment]
Your version of Excel allows you to read this threaded comment; however, any edits to it will get removed if the file is opened in a newer version of Excel. Learn more: https://go.microsoft.com/fwlink/?linkid=870924
Comment:
    Eq 5</t>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tc={A13E5554-0619-AE46-968D-106D8399B580}</author>
    <author>tc={83B63896-A890-754A-9A69-8F4020F8AAE3}</author>
    <author>tc={FD752F9F-8934-D54E-AF03-12EC84329E9A}</author>
    <author>tc={CA5D8B72-FD0E-954C-AF5A-FDF0D290271B}</author>
    <author>tc={74F3303C-9181-8B43-B1AA-DA459F9E30DE}</author>
    <author>tc={85CACEF7-FD90-0640-8432-23FE95927B1C}</author>
    <author>tc={7ED628FB-3051-514C-BB85-69262E13D1DF}</author>
    <author>tc={D8A2B1E3-3D2A-B241-8640-00C38FEECED4}</author>
    <author>tc={A3A60352-E1FA-A947-864B-2AABC672A5E8}</author>
    <author>tc={560BED46-B5E4-3A4F-9AD7-762439EA04AE}</author>
    <author>tc={51A209CF-A9F6-7149-8A7F-5933A9014BF7}</author>
    <author>tc={232D33BD-8D43-FB44-9596-6880FD334E3F}</author>
    <author>tc={2F69D32C-9C76-4541-99FA-F81E9E98351E}</author>
    <author>tc={24129261-6858-214E-B403-2F0B825C4974}</author>
    <author>tc={5D2858CD-80C9-1644-A823-5040C8191504}</author>
    <author>tc={564BBBB9-8C20-AD46-9A3E-C9D037A5E00C}</author>
    <author>tc={B10FFF3A-B5F4-8E48-B11C-75210016BB1A}</author>
    <author>tc={14FC21B3-EC09-4445-994F-6163C49C4B35}</author>
    <author>tc={092C5A7C-B63A-7B40-BD2E-8CC0A58A6DA9}</author>
    <author>tc={D472D3F2-5D97-BF4A-A7C9-B2601373F8E8}</author>
  </authors>
  <commentList>
    <comment ref="F3" authorId="0" shapeId="0" xr:uid="{A13E5554-0619-AE46-968D-106D8399B580}">
      <text>
        <t>[Threaded comment]
Your version of Excel allows you to read this threaded comment; however, any edits to it will get removed if the file is opened in a newer version of Excel. Learn more: https://go.microsoft.com/fwlink/?linkid=870924
Comment:
    Eq 4</t>
      </text>
    </comment>
    <comment ref="F4" authorId="1" shapeId="0" xr:uid="{83B63896-A890-754A-9A69-8F4020F8AAE3}">
      <text>
        <t>[Threaded comment]
Your version of Excel allows you to read this threaded comment; however, any edits to it will get removed if the file is opened in a newer version of Excel. Learn more: https://go.microsoft.com/fwlink/?linkid=870924
Comment:
    Eq 5</t>
      </text>
    </comment>
    <comment ref="F7" authorId="2" shapeId="0" xr:uid="{FD752F9F-8934-D54E-AF03-12EC84329E9A}">
      <text>
        <t>[Threaded comment]
Your version of Excel allows you to read this threaded comment; however, any edits to it will get removed if the file is opened in a newer version of Excel. Learn more: https://go.microsoft.com/fwlink/?linkid=870924
Comment:
    Eq 4</t>
      </text>
    </comment>
    <comment ref="F8" authorId="3" shapeId="0" xr:uid="{CA5D8B72-FD0E-954C-AF5A-FDF0D290271B}">
      <text>
        <t>[Threaded comment]
Your version of Excel allows you to read this threaded comment; however, any edits to it will get removed if the file is opened in a newer version of Excel. Learn more: https://go.microsoft.com/fwlink/?linkid=870924
Comment:
    Eq 5</t>
      </text>
    </comment>
    <comment ref="F10" authorId="4" shapeId="0" xr:uid="{74F3303C-9181-8B43-B1AA-DA459F9E30DE}">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10" authorId="5" shapeId="0" xr:uid="{85CACEF7-FD90-0640-8432-23FE95927B1C}">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11" authorId="6" shapeId="0" xr:uid="{7ED628FB-3051-514C-BB85-69262E13D1DF}">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12" authorId="7" shapeId="0" xr:uid="{D8A2B1E3-3D2A-B241-8640-00C38FEECED4}">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19" authorId="8" shapeId="0" xr:uid="{A3A60352-E1FA-A947-864B-2AABC672A5E8}">
      <text>
        <t>[Threaded comment]
Your version of Excel allows you to read this threaded comment; however, any edits to it will get removed if the file is opened in a newer version of Excel. Learn more: https://go.microsoft.com/fwlink/?linkid=870924
Comment:
    Eq 4</t>
      </text>
    </comment>
    <comment ref="F20" authorId="9" shapeId="0" xr:uid="{560BED46-B5E4-3A4F-9AD7-762439EA04AE}">
      <text>
        <t>[Threaded comment]
Your version of Excel allows you to read this threaded comment; however, any edits to it will get removed if the file is opened in a newer version of Excel. Learn more: https://go.microsoft.com/fwlink/?linkid=870924
Comment:
    Eq 5</t>
      </text>
    </comment>
    <comment ref="F22" authorId="10" shapeId="0" xr:uid="{51A209CF-A9F6-7149-8A7F-5933A9014BF7}">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22" authorId="11" shapeId="0" xr:uid="{232D33BD-8D43-FB44-9596-6880FD334E3F}">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23" authorId="12" shapeId="0" xr:uid="{2F69D32C-9C76-4541-99FA-F81E9E98351E}">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4" authorId="13" shapeId="0" xr:uid="{24129261-6858-214E-B403-2F0B825C4974}">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31" authorId="14" shapeId="0" xr:uid="{5D2858CD-80C9-1644-A823-5040C8191504}">
      <text>
        <t>[Threaded comment]
Your version of Excel allows you to read this threaded comment; however, any edits to it will get removed if the file is opened in a newer version of Excel. Learn more: https://go.microsoft.com/fwlink/?linkid=870924
Comment:
    Eq 4</t>
      </text>
    </comment>
    <comment ref="F32" authorId="15" shapeId="0" xr:uid="{564BBBB9-8C20-AD46-9A3E-C9D037A5E00C}">
      <text>
        <t>[Threaded comment]
Your version of Excel allows you to read this threaded comment; however, any edits to it will get removed if the file is opened in a newer version of Excel. Learn more: https://go.microsoft.com/fwlink/?linkid=870924
Comment:
    Eq 5</t>
      </text>
    </comment>
    <comment ref="F34" authorId="16" shapeId="0" xr:uid="{B10FFF3A-B5F4-8E48-B11C-75210016BB1A}">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G34" authorId="17" shapeId="0" xr:uid="{14FC21B3-EC09-4445-994F-6163C49C4B35}">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G35" authorId="18" shapeId="0" xr:uid="{092C5A7C-B63A-7B40-BD2E-8CC0A58A6DA9}">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36" authorId="19" shapeId="0" xr:uid="{D472D3F2-5D97-BF4A-A7C9-B2601373F8E8}">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tc={A68D3C9A-297B-204C-B544-2D564DF5A4A2}</author>
  </authors>
  <commentList>
    <comment ref="D3" authorId="0" shapeId="0" xr:uid="{A68D3C9A-297B-204C-B544-2D564DF5A4A2}">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tc={38979878-5ADC-A942-ADA2-B04272C7BE7C}</author>
    <author>tc={7A6086A9-8292-C644-980C-B5063B1B3BAA}</author>
    <author>tc={12C9DD9D-460B-A04F-93CF-01DDE4FE84BA}</author>
    <author>tc={4219A4FD-EA03-EB4F-91B3-335421DE3FA7}</author>
    <author>tc={E0DE011C-1B8B-DE49-98FC-94B955BED289}</author>
    <author>tc={A6C2923A-E46A-8742-9F9B-2C9370252301}</author>
    <author>tc={0D36E557-F3BD-184D-B14B-14F1CCFA729C}</author>
    <author>tc={BBF4D488-767F-B943-8CB5-AC97AC299E4D}</author>
    <author>tc={EBD7E3CD-C547-3549-8039-BE0F86AF6AB0}</author>
    <author>tc={ABBD3260-C667-2A4D-A334-C9BDA72C3601}</author>
    <author>tc={4C8ECBED-89FA-7643-B535-9A8CF7BDB4B7}</author>
    <author>tc={7EE4BB86-5743-0841-A4EB-12C23C36EBB4}</author>
    <author>tc={215AC681-3611-C345-A2A9-5EDCEAA139E4}</author>
    <author>tc={D127BAA1-52D8-2A40-9B68-71DDC4293E9C}</author>
    <author>tc={C4506358-98B6-8A40-BF1F-F066DB109C08}</author>
    <author>tc={63FF5038-2BE2-4F48-9D5A-110903A8F998}</author>
    <author>tc={24C3E646-F243-3746-AF4D-C40AE42FC62B}</author>
    <author>tc={E1E479F9-A8B6-3C4D-9312-CAC1ACF72B8E}</author>
    <author>tc={6902EE91-763B-1A4E-B922-E059F15D852D}</author>
    <author>tc={B940C169-0245-1C4D-A31A-875B49A7AF43}</author>
    <author>tc={47F00C26-5A94-DB4A-BEE2-D3BBC98302B8}</author>
    <author>tc={3AB1F360-0011-AB43-B4EE-BD9612242144}</author>
    <author>tc={C17C3A28-69D7-D54F-BAAB-E819E36E7B13}</author>
    <author>tc={1793F5AB-EB20-914C-87A5-F79F7F1533BF}</author>
    <author>tc={E90DA75D-799B-CE4E-8AA3-45530364453C}</author>
    <author>tc={4C305CED-7871-CD45-B3DE-367913F5BA65}</author>
    <author>tc={13D5B906-3F93-DB4C-8FA7-875FB4BB9D50}</author>
    <author>tc={4DB0E94B-B5AE-C64D-9DE5-3389103D6905}</author>
    <author>tc={54DEF023-BA8B-2D41-9F60-7652F5CE9D13}</author>
    <author>tc={8DCD0FD1-CE68-D348-8563-B0D01E5BB7D6}</author>
    <author>tc={16DB5DC7-93A8-EC4E-88BB-691D1C5528D0}</author>
  </authors>
  <commentList>
    <comment ref="F11" authorId="0" shapeId="0" xr:uid="{38979878-5ADC-A942-ADA2-B04272C7BE7C}">
      <text>
        <t>[Threaded comment]
Your version of Excel allows you to read this threaded comment; however, any edits to it will get removed if the file is opened in a newer version of Excel. Learn more: https://go.microsoft.com/fwlink/?linkid=870924
Comment:
    Tool 04 has to be digitized in order to use monitored data for Option 2 (solid waste)</t>
      </text>
    </comment>
    <comment ref="D13" authorId="1" shapeId="0" xr:uid="{7A6086A9-8292-C644-980C-B5063B1B3BAA}">
      <text>
        <t>[Threaded comment]
Your version of Excel allows you to read this threaded comment; however, any edits to it will get removed if the file is opened in a newer version of Excel. Learn more: https://go.microsoft.com/fwlink/?linkid=870924
Comment:
    Eq 1</t>
      </text>
    </comment>
    <comment ref="D14" authorId="2" shapeId="0" xr:uid="{12C9DD9D-460B-A04F-93CF-01DDE4FE84BA}">
      <text>
        <t>[Threaded comment]
Your version of Excel allows you to read this threaded comment; however, any edits to it will get removed if the file is opened in a newer version of Excel. Learn more: https://go.microsoft.com/fwlink/?linkid=870924
Comment:
    Eq 3</t>
      </text>
    </comment>
    <comment ref="D15" authorId="3" shapeId="0" xr:uid="{4219A4FD-EA03-EB4F-91B3-335421DE3FA7}">
      <text>
        <t>[Threaded comment]
Your version of Excel allows you to read this threaded comment; however, any edits to it will get removed if the file is opened in a newer version of Excel. Learn more: https://go.microsoft.com/fwlink/?linkid=870924
Comment:
    Tool 05</t>
      </text>
    </comment>
    <comment ref="F15" authorId="4" shapeId="0" xr:uid="{E0DE011C-1B8B-DE49-98FC-94B955BED289}">
      <text>
        <t>[Threaded comment]
Your version of Excel allows you to read this threaded comment; however, any edits to it will get removed if the file is opened in a newer version of Excel. Learn more: https://go.microsoft.com/fwlink/?linkid=870924
Comment:
    Comes from tool 03</t>
      </text>
    </comment>
    <comment ref="D16" authorId="5" shapeId="0" xr:uid="{A6C2923A-E46A-8742-9F9B-2C9370252301}">
      <text>
        <t>[Threaded comment]
Your version of Excel allows you to read this threaded comment; however, any edits to it will get removed if the file is opened in a newer version of Excel. Learn more: https://go.microsoft.com/fwlink/?linkid=870924
Comment:
    Eq 4</t>
      </text>
    </comment>
    <comment ref="D19" authorId="6" shapeId="0" xr:uid="{0D36E557-F3BD-184D-B14B-14F1CCFA729C}">
      <text>
        <t xml:space="preserve">[Threaded comment]
Your version of Excel allows you to read this threaded comment; however, any edits to it will get removed if the file is opened in a newer version of Excel. Learn more: https://go.microsoft.com/fwlink/?linkid=870924
Comment:
    Eq 4
Reply:
    Tool 8 Tool to determine the mass flow of a greenhouse gas in a gaseous stream </t>
      </text>
    </comment>
    <comment ref="D24" authorId="7" shapeId="0" xr:uid="{BBF4D488-767F-B943-8CB5-AC97AC299E4D}">
      <text>
        <t>[Threaded comment]
Your version of Excel allows you to read this threaded comment; however, any edits to it will get removed if the file is opened in a newer version of Excel. Learn more: https://go.microsoft.com/fwlink/?linkid=870924
Comment:
    Eq 3</t>
      </text>
    </comment>
    <comment ref="D28" authorId="8" shapeId="0" xr:uid="{EBD7E3CD-C547-3549-8039-BE0F86AF6AB0}">
      <text>
        <t>[Threaded comment]
Your version of Excel allows you to read this threaded comment; however, any edits to it will get removed if the file is opened in a newer version of Excel. Learn more: https://go.microsoft.com/fwlink/?linkid=870924
Comment:
    Eq 9</t>
      </text>
    </comment>
    <comment ref="D29" authorId="9" shapeId="0" xr:uid="{ABBD3260-C667-2A4D-A334-C9BDA72C3601}">
      <text>
        <t>[Threaded comment]
Your version of Excel allows you to read this threaded comment; however, any edits to it will get removed if the file is opened in a newer version of Excel. Learn more: https://go.microsoft.com/fwlink/?linkid=870924
Comment:
    Eq 15</t>
      </text>
    </comment>
    <comment ref="D31" authorId="10" shapeId="0" xr:uid="{4C8ECBED-89FA-7643-B535-9A8CF7BDB4B7}">
      <text>
        <t>[Threaded comment]
Your version of Excel allows you to read this threaded comment; however, any edits to it will get removed if the file is opened in a newer version of Excel. Learn more: https://go.microsoft.com/fwlink/?linkid=870924
Comment:
    Eq 10</t>
      </text>
    </comment>
    <comment ref="F34" authorId="11" shapeId="0" xr:uid="{7EE4BB86-5743-0841-A4EB-12C23C36EBB4}">
      <text>
        <t>[Threaded comment]
Your version of Excel allows you to read this threaded comment; however, any edits to it will get removed if the file is opened in a newer version of Excel. Learn more: https://go.microsoft.com/fwlink/?linkid=870924
Comment:
    Methane</t>
      </text>
    </comment>
    <comment ref="D37" authorId="12" shapeId="0" xr:uid="{215AC681-3611-C345-A2A9-5EDCEAA139E4}">
      <text>
        <t>[Threaded comment]
Your version of Excel allows you to read this threaded comment; however, any edits to it will get removed if the file is opened in a newer version of Excel. Learn more: https://go.microsoft.com/fwlink/?linkid=870924
Comment:
    Eq 16</t>
      </text>
    </comment>
    <comment ref="D38" authorId="13" shapeId="0" xr:uid="{D127BAA1-52D8-2A40-9B68-71DDC4293E9C}">
      <text>
        <t>[Threaded comment]
Your version of Excel allows you to read this threaded comment; however, any edits to it will get removed if the file is opened in a newer version of Excel. Learn more: https://go.microsoft.com/fwlink/?linkid=870924
Comment:
    Eq 17</t>
      </text>
    </comment>
    <comment ref="D42" authorId="14" shapeId="0" xr:uid="{C4506358-98B6-8A40-BF1F-F066DB109C08}">
      <text>
        <t>[Threaded comment]
Your version of Excel allows you to read this threaded comment; however, any edits to it will get removed if the file is opened in a newer version of Excel. Learn more: https://go.microsoft.com/fwlink/?linkid=870924
Comment:
    Eq 2</t>
      </text>
    </comment>
    <comment ref="B46" authorId="15" shapeId="0" xr:uid="{63FF5038-2BE2-4F48-9D5A-110903A8F998}">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D47" authorId="16" shapeId="0" xr:uid="{24C3E646-F243-3746-AF4D-C40AE42FC62B}">
      <text>
        <t>[Threaded comment]
Your version of Excel allows you to read this threaded comment; however, any edits to it will get removed if the file is opened in a newer version of Excel. Learn more: https://go.microsoft.com/fwlink/?linkid=870924
Comment:
    Eq 1
Reply:
    Tool 05</t>
      </text>
    </comment>
    <comment ref="F47" authorId="17" shapeId="0" xr:uid="{E1E479F9-A8B6-3C4D-9312-CAC1ACF72B8E}">
      <text>
        <t>[Threaded comment]
Your version of Excel allows you to read this threaded comment; however, any edits to it will get removed if the file is opened in a newer version of Excel. Learn more: https://go.microsoft.com/fwlink/?linkid=870924
Comment:
    If you are using Tool 14 please link this field to appropriate field in Tool 05</t>
      </text>
    </comment>
    <comment ref="D49" authorId="18" shapeId="0" xr:uid="{6902EE91-763B-1A4E-B922-E059F15D852D}">
      <text>
        <t>[Threaded comment]
Your version of Excel allows you to read this threaded comment; however, any edits to it will get removed if the file is opened in a newer version of Excel. Learn more: https://go.microsoft.com/fwlink/?linkid=870924
Comment:
    Eq 3</t>
      </text>
    </comment>
    <comment ref="B53" authorId="19" shapeId="0" xr:uid="{B940C169-0245-1C4D-A31A-875B49A7AF43}">
      <text>
        <t>[Threaded comment]
Your version of Excel allows you to read this threaded comment; however, any edits to it will get removed if the file is opened in a newer version of Excel. Learn more: https://go.microsoft.com/fwlink/?linkid=870924
Comment:
    This data comes from tool 05</t>
      </text>
    </comment>
    <comment ref="D54" authorId="20" shapeId="0" xr:uid="{47F00C26-5A94-DB4A-BEE2-D3BBC98302B8}">
      <text>
        <t>[Threaded comment]
Your version of Excel allows you to read this threaded comment; however, any edits to it will get removed if the file is opened in a newer version of Excel. Learn more: https://go.microsoft.com/fwlink/?linkid=870924
Comment:
    Eq 1
Reply:
    Tool 05</t>
      </text>
    </comment>
    <comment ref="F54" authorId="21" shapeId="0" xr:uid="{3AB1F360-0011-AB43-B4EE-BD9612242144}">
      <text>
        <t>[Threaded comment]
Your version of Excel allows you to read this threaded comment; however, any edits to it will get removed if the file is opened in a newer version of Excel. Learn more: https://go.microsoft.com/fwlink/?linkid=870924
Comment:
    If you are using Tool 14 please link this field to appropriate field in Tool 03</t>
      </text>
    </comment>
    <comment ref="D56" authorId="22" shapeId="0" xr:uid="{C17C3A28-69D7-D54F-BAAB-E819E36E7B13}">
      <text>
        <t>[Threaded comment]
Your version of Excel allows you to read this threaded comment; however, any edits to it will get removed if the file is opened in a newer version of Excel. Learn more: https://go.microsoft.com/fwlink/?linkid=870924
Comment:
    Eq 4</t>
      </text>
    </comment>
    <comment ref="B60" authorId="23" shapeId="0" xr:uid="{1793F5AB-EB20-914C-87A5-F79F7F1533BF}">
      <text>
        <t>[Threaded comment]
Your version of Excel allows you to read this threaded comment; however, any edits to it will get removed if the file is opened in a newer version of Excel. Learn more: https://go.microsoft.com/fwlink/?linkid=870924
Comment:
    Data comes from Tool 06</t>
      </text>
    </comment>
    <comment ref="D61" authorId="24" shapeId="0" xr:uid="{E90DA75D-799B-CE4E-8AA3-45530364453C}">
      <text>
        <t>[Threaded comment]
Your version of Excel allows you to read this threaded comment; however, any edits to it will get removed if the file is opened in a newer version of Excel. Learn more: https://go.microsoft.com/fwlink/?linkid=870924
Comment:
    Tool 06
Reply:
    Eq 15</t>
      </text>
    </comment>
    <comment ref="F61" authorId="25" shapeId="0" xr:uid="{4C305CED-7871-CD45-B3DE-367913F5BA65}">
      <text>
        <t>[Threaded comment]
Your version of Excel allows you to read this threaded comment; however, any edits to it will get removed if the file is opened in a newer version of Excel. Learn more: https://go.microsoft.com/fwlink/?linkid=870924
Comment:
    If you are using Tool 14 please link this field to appropriate field in Tool 06</t>
      </text>
    </comment>
    <comment ref="D63" authorId="26" shapeId="0" xr:uid="{13D5B906-3F93-DB4C-8FA7-875FB4BB9D50}">
      <text>
        <t>[Threaded comment]
Your version of Excel allows you to read this threaded comment; however, any edits to it will get removed if the file is opened in a newer version of Excel. Learn more: https://go.microsoft.com/fwlink/?linkid=870924
Comment:
    Eq 5</t>
      </text>
    </comment>
    <comment ref="F65" authorId="27" shapeId="0" xr:uid="{4DB0E94B-B5AE-C64D-9DE5-3389103D6905}">
      <text>
        <t xml:space="preserve">[Threaded comment]
Your version of Excel allows you to read this threaded comment; however, any edits to it will get removed if the file is opened in a newer version of Excel. Learn more: https://go.microsoft.com/fwlink/?linkid=870924
Comment:
    Value of 0 until methodological tool “Project and leakage emissions from composting” is digitized. </t>
      </text>
    </comment>
    <comment ref="D67" authorId="28" shapeId="0" xr:uid="{54DEF023-BA8B-2D41-9F60-7652F5CE9D13}">
      <text>
        <t>[Threaded comment]
Your version of Excel allows you to read this threaded comment; however, any edits to it will get removed if the file is opened in a newer version of Excel. Learn more: https://go.microsoft.com/fwlink/?linkid=870924
Comment:
    Eq 6</t>
      </text>
    </comment>
    <comment ref="D74" authorId="29" shapeId="0" xr:uid="{8DCD0FD1-CE68-D348-8563-B0D01E5BB7D6}">
      <text>
        <t>[Threaded comment]
Your version of Excel allows you to read this threaded comment; however, any edits to it will get removed if the file is opened in a newer version of Excel. Learn more: https://go.microsoft.com/fwlink/?linkid=870924
Comment:
    Eq 7</t>
      </text>
    </comment>
    <comment ref="D79" authorId="30" shapeId="0" xr:uid="{16DB5DC7-93A8-EC4E-88BB-691D1C5528D0}">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tc={47BEF09F-2237-6A4E-9F83-C7A861BFD732}</author>
    <author>tc={5E666D6B-195E-594C-BC1A-A94C672C0C5A}</author>
    <author>tc={7C904CC1-014C-1241-9CBD-5012D6B28AB1}</author>
    <author>tc={1FDB6489-F7A5-FE49-9434-14FD30C74D7E}</author>
    <author>tc={1534E144-76E0-484B-9E8D-139044FD747A}</author>
    <author>tc={C9499978-D265-1747-A973-8BDC8844EE15}</author>
    <author>tc={015BBE73-07A0-5746-8EE0-33C2307C3846}</author>
    <author>tc={ACE94F3F-8B89-1944-842F-A070A95511A4}</author>
  </authors>
  <commentList>
    <comment ref="F3" authorId="0" shapeId="0" xr:uid="{47BEF09F-2237-6A4E-9F83-C7A861BFD732}">
      <text>
        <t>[Threaded comment]
Your version of Excel allows you to read this threaded comment; however, any edits to it will get removed if the file is opened in a newer version of Excel. Learn more: https://go.microsoft.com/fwlink/?linkid=870924
Comment:
    Equation #2</t>
      </text>
    </comment>
    <comment ref="F4" authorId="1" shapeId="0" xr:uid="{5E666D6B-195E-594C-BC1A-A94C672C0C5A}">
      <text>
        <t>[Threaded comment]
Your version of Excel allows you to read this threaded comment; however, any edits to it will get removed if the file is opened in a newer version of Excel. Learn more: https://go.microsoft.com/fwlink/?linkid=870924
Comment:
    Equation #3</t>
      </text>
    </comment>
    <comment ref="F5" authorId="2" shapeId="0" xr:uid="{7C904CC1-014C-1241-9CBD-5012D6B28AB1}">
      <text>
        <t>[Threaded comment]
Your version of Excel allows you to read this threaded comment; however, any edits to it will get removed if the file is opened in a newer version of Excel. Learn more: https://go.microsoft.com/fwlink/?linkid=870924
Comment:
    Equation #4</t>
      </text>
    </comment>
    <comment ref="F7" authorId="3" shapeId="0" xr:uid="{1FDB6489-F7A5-FE49-9434-14FD30C74D7E}">
      <text>
        <t>[Threaded comment]
Your version of Excel allows you to read this threaded comment; however, any edits to it will get removed if the file is opened in a newer version of Excel. Learn more: https://go.microsoft.com/fwlink/?linkid=870924
Comment:
    Equation #3</t>
      </text>
    </comment>
    <comment ref="F13" authorId="4" shapeId="0" xr:uid="{1534E144-76E0-484B-9E8D-139044FD747A}">
      <text>
        <t>[Threaded comment]
Your version of Excel allows you to read this threaded comment; however, any edits to it will get removed if the file is opened in a newer version of Excel. Learn more: https://go.microsoft.com/fwlink/?linkid=870924
Comment:
    Equation #4</t>
      </text>
    </comment>
    <comment ref="F14" authorId="5" shapeId="0" xr:uid="{C9499978-D265-1747-A973-8BDC8844EE15}">
      <text>
        <t>[Threaded comment]
Your version of Excel allows you to read this threaded comment; however, any edits to it will get removed if the file is opened in a newer version of Excel. Learn more: https://go.microsoft.com/fwlink/?linkid=870924
Comment:
    Equation #5</t>
      </text>
    </comment>
    <comment ref="F15" authorId="6" shapeId="0" xr:uid="{015BBE73-07A0-5746-8EE0-33C2307C3846}">
      <text>
        <t>[Threaded comment]
Your version of Excel allows you to read this threaded comment; however, any edits to it will get removed if the file is opened in a newer version of Excel. Learn more: https://go.microsoft.com/fwlink/?linkid=870924
Comment:
    Equation #6</t>
      </text>
    </comment>
    <comment ref="F21" authorId="7" shapeId="0" xr:uid="{ACE94F3F-8B89-1944-842F-A070A95511A4}">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tc={96413492-89CB-1346-A969-10A5DAF48899}</author>
    <author>tc={39B5FC09-36EF-4042-B88D-C5D3BCF4E8BB}</author>
  </authors>
  <commentList>
    <comment ref="F3" authorId="0" shapeId="0" xr:uid="{96413492-89CB-1346-A969-10A5DAF48899}">
      <text>
        <t>[Threaded comment]
Your version of Excel allows you to read this threaded comment; however, any edits to it will get removed if the file is opened in a newer version of Excel. Learn more: https://go.microsoft.com/fwlink/?linkid=870924
Comment:
    Equation #8</t>
      </text>
    </comment>
    <comment ref="F6" authorId="1" shapeId="0" xr:uid="{39B5FC09-36EF-4042-B88D-C5D3BCF4E8BB}">
      <text>
        <t>[Threaded comment]
Your version of Excel allows you to read this threaded comment; however, any edits to it will get removed if the file is opened in a newer version of Excel. Learn more: https://go.microsoft.com/fwlink/?linkid=870924
Comment:
    Equation #9 &amp; #10</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tc={50DF4D10-78D1-A246-94AB-E2488B238C12}</author>
    <author>tc={2C3C8DF5-5A03-CF4C-8B83-6D3A8C9A5477}</author>
    <author>tc={01C6149E-1508-524A-945B-0ADE0B002144}</author>
    <author>tc={9A890B58-A3C4-D045-817E-ECB4844F586E}</author>
    <author>tc={F986090D-1218-6B46-B44B-74DD127FD485}</author>
    <author>tc={B0700A71-E995-CE49-9686-3CA56980D407}</author>
    <author>tc={EE178F5C-F144-4A41-866C-F7C8B937D2D9}</author>
    <author>tc={2012AED2-402B-9849-B04F-DBCDE954E838}</author>
  </authors>
  <commentList>
    <comment ref="D13" authorId="0" shapeId="0" xr:uid="{50DF4D10-78D1-A246-94AB-E2488B238C12}">
      <text>
        <t>[Threaded comment]
Your version of Excel allows you to read this threaded comment; however, any edits to it will get removed if the file is opened in a newer version of Excel. Learn more: https://go.microsoft.com/fwlink/?linkid=870924
Comment:
    Eq 1</t>
      </text>
    </comment>
    <comment ref="D14" authorId="1" shapeId="0" xr:uid="{2C3C8DF5-5A03-CF4C-8B83-6D3A8C9A5477}">
      <text>
        <t>[Threaded comment]
Your version of Excel allows you to read this threaded comment; however, any edits to it will get removed if the file is opened in a newer version of Excel. Learn more: https://go.microsoft.com/fwlink/?linkid=870924
Comment:
    Eq 2</t>
      </text>
    </comment>
    <comment ref="D15" authorId="2" shapeId="0" xr:uid="{01C6149E-1508-524A-945B-0ADE0B002144}">
      <text>
        <t>[Threaded comment]
Your version of Excel allows you to read this threaded comment; however, any edits to it will get removed if the file is opened in a newer version of Excel. Learn more: https://go.microsoft.com/fwlink/?linkid=870924
Comment:
    Eq 3</t>
      </text>
    </comment>
    <comment ref="D17" authorId="3" shapeId="0" xr:uid="{9A890B58-A3C4-D045-817E-ECB4844F586E}">
      <text>
        <t>[Threaded comment]
Your version of Excel allows you to read this threaded comment; however, any edits to it will get removed if the file is opened in a newer version of Excel. Learn more: https://go.microsoft.com/fwlink/?linkid=870924
Comment:
    At least monthly recording of data</t>
      </text>
    </comment>
    <comment ref="D32" authorId="4" shapeId="0" xr:uid="{F986090D-1218-6B46-B44B-74DD127FD485}">
      <text>
        <t>[Threaded comment]
Your version of Excel allows you to read this threaded comment; however, any edits to it will get removed if the file is opened in a newer version of Excel. Learn more: https://go.microsoft.com/fwlink/?linkid=870924
Comment:
    Eq 4</t>
      </text>
    </comment>
    <comment ref="D33" authorId="5" shapeId="0" xr:uid="{B0700A71-E995-CE49-9686-3CA56980D407}">
      <text>
        <t>[Threaded comment]
Your version of Excel allows you to read this threaded comment; however, any edits to it will get removed if the file is opened in a newer version of Excel. Learn more: https://go.microsoft.com/fwlink/?linkid=870924
Comment:
    Eq 5</t>
      </text>
    </comment>
    <comment ref="D38" authorId="6" shapeId="0" xr:uid="{EE178F5C-F144-4A41-866C-F7C8B937D2D9}">
      <text>
        <t>[Threaded comment]
Your version of Excel allows you to read this threaded comment; however, any edits to it will get removed if the file is opened in a newer version of Excel. Learn more: https://go.microsoft.com/fwlink/?linkid=870924
Comment:
    Eq 7</t>
      </text>
    </comment>
    <comment ref="D39" authorId="7" shapeId="0" xr:uid="{2012AED2-402B-9849-B04F-DBCDE954E838}">
      <text>
        <t>[Threaded comment]
Your version of Excel allows you to read this threaded comment; however, any edits to it will get removed if the file is opened in a newer version of Excel. Learn more: https://go.microsoft.com/fwlink/?linkid=870924
Comment:
    Eq 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tc={A9F0A8B4-8A10-244F-BDF1-555B6246E284}</author>
    <author>tc={954605C6-B922-D947-A100-CF3FA256E165}</author>
    <author>tc={3781ADA5-8DB0-A448-A132-381004A37873}</author>
    <author>tc={8D75F897-818B-A145-A462-FFAA3B0692B8}</author>
    <author>tc={5DF08E18-CD12-7D45-BF19-5F79BF6B2CD4}</author>
    <author>tc={9CA641B5-4027-6646-B3E5-6C43EE408685}</author>
    <author>tc={6ED6D34C-6D01-8E40-85B1-99595BDEFB7C}</author>
    <author>tc={1C64BDEE-208F-A24E-BA90-4B81FC663C41}</author>
    <author>tc={076132AE-A3C0-A040-B5CC-70DA9105E6C3}</author>
    <author>tc={197F4523-93B7-0744-B28D-0D086E84D44F}</author>
    <author>tc={93F012C7-3472-104F-B1C0-F2257D5CE220}</author>
  </authors>
  <commentList>
    <comment ref="D4" authorId="0" shapeId="0" xr:uid="{A9F0A8B4-8A10-244F-BDF1-555B6246E284}">
      <text>
        <t>[Threaded comment]
Your version of Excel allows you to read this threaded comment; however, any edits to it will get removed if the file is opened in a newer version of Excel. Learn more: https://go.microsoft.com/fwlink/?linkid=870924
Comment:
    Eq 4</t>
      </text>
    </comment>
    <comment ref="D5" authorId="1" shapeId="0" xr:uid="{954605C6-B922-D947-A100-CF3FA256E165}">
      <text>
        <t>[Threaded comment]
Your version of Excel allows you to read this threaded comment; however, any edits to it will get removed if the file is opened in a newer version of Excel. Learn more: https://go.microsoft.com/fwlink/?linkid=870924
Comment:
    Eq 5</t>
      </text>
    </comment>
    <comment ref="D7" authorId="2" shapeId="0" xr:uid="{3781ADA5-8DB0-A448-A132-381004A37873}">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D8" authorId="3" shapeId="0" xr:uid="{8D75F897-818B-A145-A462-FFAA3B0692B8}">
      <text>
        <t>[Threaded comment]
Your version of Excel allows you to read this threaded comment; however, any edits to it will get removed if the file is opened in a newer version of Excel. Learn more: https://go.microsoft.com/fwlink/?linkid=870924
Comment:
    Assumptions are made for this that the unit for FCn,i,t is in metric tons</t>
      </text>
    </comment>
    <comment ref="F8" authorId="4" shapeId="0" xr:uid="{5DF08E18-CD12-7D45-BF19-5F79BF6B2CD4}">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9" authorId="5" shapeId="0" xr:uid="{9CA641B5-4027-6646-B3E5-6C43EE408685}">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D16" authorId="6" shapeId="0" xr:uid="{6ED6D34C-6D01-8E40-85B1-99595BDEFB7C}">
      <text>
        <t>[Threaded comment]
Your version of Excel allows you to read this threaded comment; however, any edits to it will get removed if the file is opened in a newer version of Excel. Learn more: https://go.microsoft.com/fwlink/?linkid=870924
Comment:
    Eq 4</t>
      </text>
    </comment>
    <comment ref="D17" authorId="7" shapeId="0" xr:uid="{1C64BDEE-208F-A24E-BA90-4B81FC663C41}">
      <text>
        <t>[Threaded comment]
Your version of Excel allows you to read this threaded comment; however, any edits to it will get removed if the file is opened in a newer version of Excel. Learn more: https://go.microsoft.com/fwlink/?linkid=870924
Comment:
    Eq 5</t>
      </text>
    </comment>
    <comment ref="D19" authorId="8" shapeId="0" xr:uid="{076132AE-A3C0-A040-B5CC-70DA9105E6C3}">
      <text>
        <t>[Threaded comment]
Your version of Excel allows you to read this threaded comment; however, any edits to it will get removed if the file is opened in a newer version of Excel. Learn more: https://go.microsoft.com/fwlink/?linkid=870924
Comment:
    Unit of measurement can be cubic meters, metric ton, or liter. This seems to be confusing when it comes to the calculation. Depending on the unit of measurement used there could be errors in the final calc. This is following the methodology so I'll leave it as is.</t>
      </text>
    </comment>
    <comment ref="F20" authorId="9" shapeId="0" xr:uid="{197F4523-93B7-0744-B28D-0D086E84D44F}">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 ref="F21" authorId="10" shapeId="0" xr:uid="{93F012C7-3472-104F-B1C0-F2257D5CE220}">
      <text>
        <t>[Threaded comment]
Your version of Excel allows you to read this threaded comment; however, any edits to it will get removed if the file is opened in a newer version of Excel. Learn more: https://go.microsoft.com/fwlink/?linkid=870924
Comment:
    Dependent on fuel type selection</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tc={AEE1122F-7D4A-CA43-A588-7E29EEDF1EC4}</author>
    <author>tc={D5E332DB-E496-304F-B428-B3F3BC4D00EF}</author>
  </authors>
  <commentList>
    <comment ref="A1" authorId="0" shapeId="0" xr:uid="{AEE1122F-7D4A-CA43-A588-7E29EEDF1EC4}">
      <text>
        <t>[Threaded comment]
Your version of Excel allows you to read this threaded comment; however, any edits to it will get removed if the file is opened in a newer version of Excel. Learn more: https://go.microsoft.com/fwlink/?linkid=870924
Comment:
    IPCC</t>
      </text>
    </comment>
    <comment ref="C3" authorId="1" shapeId="0" xr:uid="{D5E332DB-E496-304F-B428-B3F3BC4D00EF}">
      <text>
        <t>[Threaded comment]
Your version of Excel allows you to read this threaded comment; however, any edits to it will get removed if the file is opened in a newer version of Excel. Learn more: https://go.microsoft.com/fwlink/?linkid=870924
Comment:
    Upper Default Value at the 95% confidence interval</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tc={4AD0A42A-6877-8140-8689-9FC91231FE06}</author>
    <author>tc={BD8EEC06-8799-0347-B1CA-4EFD0763557E}</author>
    <author>tc={35374B00-2720-5941-BB60-8E0B5111779D}</author>
    <author>tc={B9506DCE-AF11-CE44-81A6-4E962053FCB3}</author>
    <author>tc={71054C9E-B351-224C-B0D4-DAA9B0367E64}</author>
    <author>tc={F6EC89A0-3336-814B-8062-A87F72971769}</author>
    <author>tc={9BB83577-66A4-4A43-A3A8-0F2EDF7A3DF0}</author>
    <author>tc={61200D2A-1993-DD42-84A4-8EDCF4AE0AD4}</author>
    <author>tc={8C865D72-62A7-2E4D-8892-926D8E0AC3E3}</author>
    <author>tc={BD6DD351-53E2-164C-8F7D-BB2E7E77E20E}</author>
    <author>tc={90C39F4A-3B6A-454B-A6E4-2CD7D2E56F75}</author>
    <author>tc={F8448075-48D1-1B47-B5D5-9909BC9F9F9A}</author>
    <author>tc={E3D281D2-1D81-2F4E-A8C7-D83FB0D8A004}</author>
    <author>tc={8E587252-05ED-204B-B739-57449E27678D}</author>
    <author>tc={6E061941-5CC7-3340-A1A2-CAEF8742798D}</author>
    <author>tc={E289EC02-C909-F645-8C32-C35453A55B07}</author>
    <author>tc={CC684342-9670-6C4F-B9F8-63FC84641A9D}</author>
    <author>tc={8E16C44E-4F76-3D46-A9EF-91EF3B324459}</author>
    <author>tc={507C718A-8335-7247-A0D9-32036CC1ABE4}</author>
    <author>tc={8B5FA2E9-3B47-5E42-8301-E6524229EAA9}</author>
    <author>tc={DBDB0190-F895-6643-AF0F-7D1DE68D9951}</author>
    <author>tc={BA223470-B3E1-7040-8B62-19528D28F1F3}</author>
    <author>tc={CA46FD48-1294-A24E-ACB9-81A2B1C94848}</author>
  </authors>
  <commentList>
    <comment ref="B38" authorId="0" shapeId="0" xr:uid="{4AD0A42A-6877-8140-8689-9FC91231FE06}">
      <text>
        <t>[Threaded comment]
Your version of Excel allows you to read this threaded comment; however, any edits to it will get removed if the file is opened in a newer version of Excel. Learn more: https://go.microsoft.com/fwlink/?linkid=870924
Comment:
    Equation 8</t>
      </text>
    </comment>
    <comment ref="B43" authorId="1" shapeId="0" xr:uid="{BD8EEC06-8799-0347-B1CA-4EFD0763557E}">
      <text>
        <t>[Threaded comment]
Your version of Excel allows you to read this threaded comment; however, any edits to it will get removed if the file is opened in a newer version of Excel. Learn more: https://go.microsoft.com/fwlink/?linkid=870924
Comment:
    Equation 7</t>
      </text>
    </comment>
    <comment ref="B48" authorId="2" shapeId="0" xr:uid="{35374B00-2720-5941-BB60-8E0B5111779D}">
      <text>
        <t>[Threaded comment]
Your version of Excel allows you to read this threaded comment; however, any edits to it will get removed if the file is opened in a newer version of Excel. Learn more: https://go.microsoft.com/fwlink/?linkid=870924
Comment:
    Equation 6</t>
      </text>
    </comment>
    <comment ref="B54" authorId="3" shapeId="0" xr:uid="{B9506DCE-AF11-CE44-81A6-4E962053FCB3}">
      <text>
        <t>[Threaded comment]
Your version of Excel allows you to read this threaded comment; however, any edits to it will get removed if the file is opened in a newer version of Excel. Learn more: https://go.microsoft.com/fwlink/?linkid=870924
Comment:
    Equation 5</t>
      </text>
    </comment>
    <comment ref="B56" authorId="4" shapeId="0" xr:uid="{71054C9E-B351-224C-B0D4-DAA9B0367E64}">
      <text>
        <t>[Threaded comment]
Your version of Excel allows you to read this threaded comment; however, any edits to it will get removed if the file is opened in a newer version of Excel. Learn more: https://go.microsoft.com/fwlink/?linkid=870924
Comment:
    Equation 4</t>
      </text>
    </comment>
    <comment ref="B66" authorId="5" shapeId="0" xr:uid="{F6EC89A0-3336-814B-8062-A87F72971769}">
      <text>
        <t>[Threaded comment]
Your version of Excel allows you to read this threaded comment; however, any edits to it will get removed if the file is opened in a newer version of Excel. Learn more: https://go.microsoft.com/fwlink/?linkid=870924
Comment:
    Equation 3</t>
      </text>
    </comment>
    <comment ref="B70" authorId="6" shapeId="0" xr:uid="{9BB83577-66A4-4A43-A3A8-0F2EDF7A3DF0}">
      <text>
        <t>[Threaded comment]
Your version of Excel allows you to read this threaded comment; however, any edits to it will get removed if the file is opened in a newer version of Excel. Learn more: https://go.microsoft.com/fwlink/?linkid=870924
Comment:
    Equation 2</t>
      </text>
    </comment>
    <comment ref="B71" authorId="7" shapeId="0" xr:uid="{61200D2A-1993-DD42-84A4-8EDCF4AE0AD4}">
      <text>
        <t>[Threaded comment]
Your version of Excel allows you to read this threaded comment; however, any edits to it will get removed if the file is opened in a newer version of Excel. Learn more: https://go.microsoft.com/fwlink/?linkid=870924
Comment:
    Equation 1</t>
      </text>
    </comment>
    <comment ref="B79" authorId="8" shapeId="0" xr:uid="{8C865D72-62A7-2E4D-8892-926D8E0AC3E3}">
      <text>
        <t>[Threaded comment]
Your version of Excel allows you to read this threaded comment; however, any edits to it will get removed if the file is opened in a newer version of Excel. Learn more: https://go.microsoft.com/fwlink/?linkid=870924
Comment:
    Equation 13</t>
      </text>
    </comment>
    <comment ref="B85" authorId="9" shapeId="0" xr:uid="{BD6DD351-53E2-164C-8F7D-BB2E7E77E20E}">
      <text>
        <t>[Threaded comment]
Your version of Excel allows you to read this threaded comment; however, any edits to it will get removed if the file is opened in a newer version of Excel. Learn more: https://go.microsoft.com/fwlink/?linkid=870924
Comment:
    Equation 11</t>
      </text>
    </comment>
    <comment ref="B91" authorId="10" shapeId="0" xr:uid="{90C39F4A-3B6A-454B-A6E4-2CD7D2E56F75}">
      <text>
        <t>[Threaded comment]
Your version of Excel allows you to read this threaded comment; however, any edits to it will get removed if the file is opened in a newer version of Excel. Learn more: https://go.microsoft.com/fwlink/?linkid=870924
Comment:
    Equation 9</t>
      </text>
    </comment>
    <comment ref="B95" authorId="11" shapeId="0" xr:uid="{F8448075-48D1-1B47-B5D5-9909BC9F9F9A}">
      <text>
        <t>[Threaded comment]
Your version of Excel allows you to read this threaded comment; however, any edits to it will get removed if the file is opened in a newer version of Excel. Learn more: https://go.microsoft.com/fwlink/?linkid=870924
Comment:
    Equation 14</t>
      </text>
    </comment>
    <comment ref="B101" authorId="12" shapeId="0" xr:uid="{E3D281D2-1D81-2F4E-A8C7-D83FB0D8A004}">
      <text>
        <t>[Threaded comment]
Your version of Excel allows you to read this threaded comment; however, any edits to it will get removed if the file is opened in a newer version of Excel. Learn more: https://go.microsoft.com/fwlink/?linkid=870924
Comment:
    Equation 12</t>
      </text>
    </comment>
    <comment ref="B107" authorId="13" shapeId="0" xr:uid="{8E587252-05ED-204B-B739-57449E27678D}">
      <text>
        <t>[Threaded comment]
Your version of Excel allows you to read this threaded comment; however, any edits to it will get removed if the file is opened in a newer version of Excel. Learn more: https://go.microsoft.com/fwlink/?linkid=870924
Comment:
    Equation 10</t>
      </text>
    </comment>
    <comment ref="B116" authorId="14" shapeId="0" xr:uid="{6E061941-5CC7-3340-A1A2-CAEF8742798D}">
      <text>
        <t>[Threaded comment]
Your version of Excel allows you to read this threaded comment; however, any edits to it will get removed if the file is opened in a newer version of Excel. Learn more: https://go.microsoft.com/fwlink/?linkid=870924
Comment:
    Equation 15</t>
      </text>
    </comment>
    <comment ref="C121" authorId="15" shapeId="0" xr:uid="{E289EC02-C909-F645-8C32-C35453A55B07}">
      <text>
        <t>[Threaded comment]
Your version of Excel allows you to read this threaded comment; however, any edits to it will get removed if the file is opened in a newer version of Excel. Learn more: https://go.microsoft.com/fwlink/?linkid=870924
Comment:
    "Tool 12"
Linked value to get calculation to work</t>
      </text>
    </comment>
    <comment ref="C122" authorId="16" shapeId="0" xr:uid="{CC684342-9670-6C4F-B9F8-63FC84641A9D}">
      <text>
        <t xml:space="preserve">[Threaded comment]
Your version of Excel allows you to read this threaded comment; however, any edits to it will get removed if the file is opened in a newer version of Excel. Learn more: https://go.microsoft.com/fwlink/?linkid=870924
Comment:
    "Parameter LEec,y from Tool 05"
</t>
      </text>
    </comment>
    <comment ref="C123" authorId="17" shapeId="0" xr:uid="{8E16C44E-4F76-3D46-A9EF-91EF3B324459}">
      <text>
        <t xml:space="preserve">[Threaded comment]
Your version of Excel allows you to read this threaded comment; however, any edits to it will get removed if the file is opened in a newer version of Excel. Learn more: https://go.microsoft.com/fwlink/?linkid=870924
Comment:
    "Parameter LEfc,𝑗,𝑦  from Tool 03"
No value listed with that parameter, used PEfc,j,y
</t>
      </text>
    </comment>
    <comment ref="C131" authorId="18" shapeId="0" xr:uid="{507C718A-8335-7247-A0D9-32036CC1ABE4}">
      <text>
        <t>[Threaded comment]
Your version of Excel allows you to read this threaded comment; however, any edits to it will get removed if the file is opened in a newer version of Excel. Learn more: https://go.microsoft.com/fwlink/?linkid=870924
Comment:
    "Parameter LEec,y from Tool 05"</t>
      </text>
    </comment>
    <comment ref="C132" authorId="19" shapeId="0" xr:uid="{8B5FA2E9-3B47-5E42-8301-E6524229EAA9}">
      <text>
        <t>[Threaded comment]
Your version of Excel allows you to read this threaded comment; however, any edits to it will get removed if the file is opened in a newer version of Excel. Learn more: https://go.microsoft.com/fwlink/?linkid=870924
Comment:
    "Parameter LEfc,𝑗,𝑦  from Tool 03"
No value listed with that parameter, used PEfc,j,y</t>
      </text>
    </comment>
    <comment ref="C133" authorId="20" shapeId="0" xr:uid="{DBDB0190-F895-6643-AF0F-7D1DE68D9951}">
      <text>
        <t>[Threaded comment]
Your version of Excel allows you to read this threaded comment; however, any edits to it will get removed if the file is opened in a newer version of Excel. Learn more: https://go.microsoft.com/fwlink/?linkid=870924
Comment:
    "Parameter  LEch4,swds,𝑦  from Tool 04"
Had to insert values for certain parameters to get a value</t>
      </text>
    </comment>
    <comment ref="C134" authorId="21" shapeId="0" xr:uid="{BA223470-B3E1-7040-8B62-19528D28F1F3}">
      <text>
        <t>[Threaded comment]
Your version of Excel allows you to read this threaded comment; however, any edits to it will get removed if the file is opened in a newer version of Excel. Learn more: https://go.microsoft.com/fwlink/?linkid=870924
Comment:
    "Parameter LEcomp,y  from Tool 13"</t>
      </text>
    </comment>
    <comment ref="C135" authorId="22" shapeId="0" xr:uid="{CA46FD48-1294-A24E-ACB9-81A2B1C94848}">
      <text>
        <t>[Threaded comment]
Your version of Excel allows you to read this threaded comment; however, any edits to it will get removed if the file is opened in a newer version of Excel. Learn more: https://go.microsoft.com/fwlink/?linkid=870924
Comment:
    "Parameter LEad,𝑦   from Tool 14"
Value should be pulled from 
='Tool 14'!F63
Values need to be inserted/fixed, used a placeholder of 10 for now</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tc={7DFB6330-698B-5B42-9BE9-A696B2BABA59}</author>
    <author>tc={0BDFA34E-BB0E-2D4C-A1A3-18AE19D6D6A5}</author>
    <author>tc={8AD44E9D-5148-7945-952A-CBFE2DB4C508}</author>
  </authors>
  <commentList>
    <comment ref="A1" authorId="0" shapeId="0" xr:uid="{7DFB6330-698B-5B42-9BE9-A696B2BABA59}">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8" authorId="1" shapeId="0" xr:uid="{0BDFA34E-BB0E-2D4C-A1A3-18AE19D6D6A5}">
      <text>
        <t xml:space="preserve">[Threaded comment]
Your version of Excel allows you to read this threaded comment; however, any edits to it will get removed if the file is opened in a newer version of Excel. Learn more: https://go.microsoft.com/fwlink/?linkid=870924
Comment:
    Add one of each of the parameters and an annual total for each year added. </t>
      </text>
    </comment>
    <comment ref="A13" authorId="2" shapeId="0" xr:uid="{8AD44E9D-5148-7945-952A-CBFE2DB4C508}">
      <text>
        <t>[Threaded comment]
Your version of Excel allows you to read this threaded comment; however, any edits to it will get removed if the file is opened in a newer version of Excel. Learn more: https://go.microsoft.com/fwlink/?linkid=870924
Comment:
    Unless allowed by the methodology, only positive leakage, i.e. increased emissions outside the project boundary, can be accounted under this tool. If the result of the leakage calculation is negative, assume a value equals to zero.</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tc={6DC797ED-461E-1545-87FA-1EA8D4B19253}</author>
  </authors>
  <commentList>
    <comment ref="F10" authorId="0" shapeId="0" xr:uid="{6DC797ED-461E-1545-87FA-1EA8D4B19253}">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metadata.xml><?xml version="1.0" encoding="utf-8"?>
<metadata xmlns="http://schemas.openxmlformats.org/spreadsheetml/2006/main" xmlns:xda="http://schemas.microsoft.com/office/spreadsheetml/2017/dynamicarray">
  <metadataTypes count="1">
    <metadataType name="XLDAPR" minSupportedVersion="120000" copy="1" pasteAll="1" pasteValues="1" merge="1" splitFirst="1" rowColShift="1" clearFormats="1" clearComments="1" assign="1" coerce="1" cellMeta="1"/>
  </metadataTypes>
  <futureMetadata name="XLDAPR" count="1">
    <bk>
      <extLst>
        <ext uri="{bdbb8cdc-fa1e-496e-a857-3c3f30c029c3}">
          <xda:dynamicArrayProperties fDynamic="1" fCollapsed="0"/>
        </ext>
      </extLst>
    </bk>
  </futureMetadata>
  <cellMetadata count="1">
    <bk>
      <rc t="1" v="0"/>
    </bk>
  </cellMetadata>
</metadata>
</file>

<file path=xl/sharedStrings.xml><?xml version="1.0" encoding="utf-8"?>
<sst xmlns="http://schemas.openxmlformats.org/spreadsheetml/2006/main" count="4404" uniqueCount="1986">
  <si>
    <t>Required Field</t>
  </si>
  <si>
    <t xml:space="preserve">Selective Disclosure </t>
  </si>
  <si>
    <t>Allow Multiple Answers</t>
  </si>
  <si>
    <t>Schema Type</t>
  </si>
  <si>
    <t xml:space="preserve">Properties </t>
  </si>
  <si>
    <t>Parameter</t>
  </si>
  <si>
    <t>Question</t>
  </si>
  <si>
    <t>Answer</t>
  </si>
  <si>
    <t>Project Details</t>
  </si>
  <si>
    <t>Yes</t>
  </si>
  <si>
    <t>No</t>
  </si>
  <si>
    <t>String</t>
  </si>
  <si>
    <t>N/A</t>
  </si>
  <si>
    <t>Summary of the Project Description</t>
  </si>
  <si>
    <t>Renewable electricity generation by individual households/users or groups of households/users</t>
  </si>
  <si>
    <t>ActivityImpactModule.projectScope</t>
  </si>
  <si>
    <t>Sectoral Scope</t>
  </si>
  <si>
    <t xml:space="preserve">Project Scope: 01 </t>
  </si>
  <si>
    <t>ActivityImpactModule.projectType</t>
  </si>
  <si>
    <t>Project Type</t>
  </si>
  <si>
    <t xml:space="preserve">Project Category: Energy industries (renewable - / non-renewable sources) </t>
  </si>
  <si>
    <t>AccountableImpactOrganization.activityImpactModules</t>
  </si>
  <si>
    <t>Type of Activity</t>
  </si>
  <si>
    <t>Displacement of more-GHG-intensive, non-renewable electricity applications by introducing renewable energy technologies</t>
  </si>
  <si>
    <t>ActivityImpactModule.projectScale</t>
  </si>
  <si>
    <t>Project Scale</t>
  </si>
  <si>
    <t>Small-scale</t>
  </si>
  <si>
    <t>ActivityImpactModule.GeographicLocation.latitude</t>
  </si>
  <si>
    <t>Project Location Latitude</t>
  </si>
  <si>
    <t>24.70092°</t>
  </si>
  <si>
    <t>ActivityImpactModule.GeographicLocation.longitude</t>
  </si>
  <si>
    <t>Project Location Longitude</t>
  </si>
  <si>
    <t>90.463975°</t>
  </si>
  <si>
    <t>ActivityImpactModule.GeographicLocation.geoJsonOrKml</t>
  </si>
  <si>
    <t>Project Location GeoJSON (GeoJSON supports the following geometry types: Point, LineString, Polygon, MultiPoint, MultiLineString, MultiPolygon.)</t>
  </si>
  <si>
    <t>[-104.99404, 39.75621]</t>
  </si>
  <si>
    <t>Project Eligibility</t>
  </si>
  <si>
    <t>The project activity would not occur or be financially attractive without the income associated with the sale of CERs</t>
  </si>
  <si>
    <t>AccountableImpactOrganization.name</t>
  </si>
  <si>
    <t>Project Participant Organization Name</t>
  </si>
  <si>
    <t>X Energy  Project</t>
  </si>
  <si>
    <t>Name</t>
  </si>
  <si>
    <t>Project Participant Contact Person</t>
  </si>
  <si>
    <t>John Doe</t>
  </si>
  <si>
    <t xml:space="preserve">Project Participant Title </t>
  </si>
  <si>
    <t xml:space="preserve">Owner </t>
  </si>
  <si>
    <t>Address</t>
  </si>
  <si>
    <t>AccountableImpactOrganization.addresses</t>
  </si>
  <si>
    <t xml:space="preserve">Project Participant Address </t>
  </si>
  <si>
    <t>India</t>
  </si>
  <si>
    <t>Phone Number</t>
  </si>
  <si>
    <t xml:space="preserve">Project Participant Telephone </t>
  </si>
  <si>
    <t>(555) 222-3131</t>
  </si>
  <si>
    <t>Email</t>
  </si>
  <si>
    <t>Project Participant Email</t>
  </si>
  <si>
    <t>JD@gmail.com</t>
  </si>
  <si>
    <t>AccountableImpactOrganization.owners</t>
  </si>
  <si>
    <t>Project Ownership</t>
  </si>
  <si>
    <t>Participation under other GHG Programs</t>
  </si>
  <si>
    <t>Other Forms of Environmental Credit</t>
  </si>
  <si>
    <t xml:space="preserve">Select all that apply </t>
  </si>
  <si>
    <t>QualityStandard.methodologyAndTools</t>
  </si>
  <si>
    <t>Title and Reference of Methodologies</t>
  </si>
  <si>
    <t>CDM - AMS-I.A.</t>
  </si>
  <si>
    <t xml:space="preserve">Date  </t>
  </si>
  <si>
    <t>ActivityImpactModule.projectStartDate</t>
  </si>
  <si>
    <t>Project Start Date</t>
  </si>
  <si>
    <t>Date Range</t>
  </si>
  <si>
    <t>ActivityImpactModule.projectCreditingPeriod</t>
  </si>
  <si>
    <t>Crediting Period</t>
  </si>
  <si>
    <t>01/01/2018-01/01/2019</t>
  </si>
  <si>
    <t>ActivityImpactModule.projectMonitoringPeriod</t>
  </si>
  <si>
    <t>Monitoring Period</t>
  </si>
  <si>
    <t>Monitoring Plan</t>
  </si>
  <si>
    <t>Monitoring plan was structured based on AMS-I.A. criteria</t>
  </si>
  <si>
    <t>Compliance with Laws, Statutes and Other Regulatory Frameworks</t>
  </si>
  <si>
    <t>CoBenefit.unSdg</t>
  </si>
  <si>
    <t>Sustainable development</t>
  </si>
  <si>
    <t>Further Information</t>
  </si>
  <si>
    <t>Questionnaire</t>
  </si>
  <si>
    <t xml:space="preserve">Select One </t>
  </si>
  <si>
    <t>To calculate your baseline emissions will you be using: Option 1: based on the electricity consumption of the households/user, Option 2: based on the annual electricity generation by the project activity, or Option 3: based on a trend-adjusted projection of historical fuel consumption?</t>
  </si>
  <si>
    <t>Option 1</t>
  </si>
  <si>
    <t xml:space="preserve">Will your projct emissions be resulting from geothermal power plants (e.g. noncondensable gases, electricity/fossil fuel consumption), from water reservoirs of hydro power plants, or from other renewable energy project activities? </t>
  </si>
  <si>
    <t>Geothermal</t>
  </si>
  <si>
    <t xml:space="preserve">Leakage emissions need to be considered for your project if either the energy generation equipment was transferred from another project activity or if the project activities utilize  biomass and/or biomass residues. If thse cases do not apply select none. </t>
  </si>
  <si>
    <t>Transfer</t>
  </si>
  <si>
    <t xml:space="preserve">Baseline Emissions </t>
  </si>
  <si>
    <t>Auto-Calculate</t>
  </si>
  <si>
    <r>
      <t>𝐵𝐸</t>
    </r>
    <r>
      <rPr>
        <i/>
        <vertAlign val="subscript"/>
        <sz val="11"/>
        <color theme="1"/>
        <rFont val="Calibri (Body)"/>
      </rPr>
      <t>y</t>
    </r>
  </si>
  <si>
    <t>Baseline emissions in year y (t CO2)</t>
  </si>
  <si>
    <t xml:space="preserve">If baseline emissions are based on electricity consumption of the households/user then use fiel H36 in "AMS-I.A." schema, if based on the annual electricity generation by the project activity then use field H70 in "AMS-I.A." schema, if based on a trend-adjusted projection of historical fuel consumption then use field H84 in "AMS-I.A." scheema </t>
  </si>
  <si>
    <t>Option 1. Baseline Emissions</t>
  </si>
  <si>
    <t xml:space="preserve">Yes </t>
  </si>
  <si>
    <r>
      <t>𝐸</t>
    </r>
    <r>
      <rPr>
        <i/>
        <vertAlign val="subscript"/>
        <sz val="11"/>
        <color theme="1"/>
        <rFont val="Calibri (Body)"/>
      </rPr>
      <t>𝐵𝐿,y</t>
    </r>
  </si>
  <si>
    <t>Energy baseline in year y (kWh)</t>
  </si>
  <si>
    <t xml:space="preserve">Number </t>
  </si>
  <si>
    <r>
      <t xml:space="preserve"> 𝐸𝐹</t>
    </r>
    <r>
      <rPr>
        <i/>
        <vertAlign val="subscript"/>
        <sz val="11"/>
        <color theme="1"/>
        <rFont val="Calibri (Body)"/>
      </rPr>
      <t>𝐶𝑂2,y</t>
    </r>
  </si>
  <si>
    <t>Emission factor (t CO2/kWh)</t>
  </si>
  <si>
    <t xml:space="preserve">[Click to add Electricity Generation Unit] </t>
  </si>
  <si>
    <t xml:space="preserve">Renewable Electricity Generation Unit Type </t>
  </si>
  <si>
    <t>i</t>
  </si>
  <si>
    <t>Type of renewable electricity generation unit(s) implemented by the project activity</t>
  </si>
  <si>
    <t xml:space="preserve">[Click to add Consumer Type] </t>
  </si>
  <si>
    <t xml:space="preserve">Consumer Type (e.g. households, rural health centres, rural schools, grain milling, water pumping, irrigation, etc.) </t>
  </si>
  <si>
    <t>c</t>
  </si>
  <si>
    <t>Type of consumer (e.g. households, rural health centres, rural schools, grain milling, water pumping, irrigation, etc.) covered by the project activity</t>
  </si>
  <si>
    <r>
      <t>𝑛</t>
    </r>
    <r>
      <rPr>
        <i/>
        <vertAlign val="subscript"/>
        <sz val="11"/>
        <color theme="1"/>
        <rFont val="Calibri (Body)"/>
      </rPr>
      <t>𝑐,𝑖</t>
    </r>
  </si>
  <si>
    <t>Number of consumers type c supplied with renewable electricity generation unit(s) type I</t>
  </si>
  <si>
    <r>
      <t>𝐸𝐶</t>
    </r>
    <r>
      <rPr>
        <i/>
        <vertAlign val="subscript"/>
        <sz val="11"/>
        <color theme="1"/>
        <rFont val="Calibri (Body)"/>
      </rPr>
      <t>𝑐,𝑖,y</t>
    </r>
  </si>
  <si>
    <t>Electricity consumption by user type c supplied with unit type i in year y (kWh)</t>
  </si>
  <si>
    <t>TDL</t>
  </si>
  <si>
    <t>Average technical transmission and distribution losses that would have been observed in diesel powered mini-grids installed by public programmes or distribution companies in isolated areas, expressed as a fraction</t>
  </si>
  <si>
    <t xml:space="preserve">Option 2. Baseline Emissions </t>
  </si>
  <si>
    <r>
      <t>𝐸𝐺</t>
    </r>
    <r>
      <rPr>
        <i/>
        <vertAlign val="subscript"/>
        <sz val="11"/>
        <color theme="1"/>
        <rFont val="Calibri (Body)"/>
      </rPr>
      <t>𝑖,y</t>
    </r>
  </si>
  <si>
    <t>Electricity generation by the project activity unit(s) type i in year y (kWh)</t>
  </si>
  <si>
    <t xml:space="preserve">Option 3. Baseline Emissions </t>
  </si>
  <si>
    <t xml:space="preserve">[Click to add Fuel Type] </t>
  </si>
  <si>
    <t xml:space="preserve">Combustion Fuel Type </t>
  </si>
  <si>
    <t>j</t>
  </si>
  <si>
    <t>Fuel type used for combustion</t>
  </si>
  <si>
    <r>
      <t>𝐹𝐶</t>
    </r>
    <r>
      <rPr>
        <i/>
        <vertAlign val="subscript"/>
        <sz val="11"/>
        <color theme="1"/>
        <rFont val="Calibri (Body)"/>
      </rPr>
      <t>𝑗,y</t>
    </r>
  </si>
  <si>
    <t>Projected fuel consumption of fuel type j in year y (mass or volume unit)</t>
  </si>
  <si>
    <r>
      <t>𝑁𝐶𝑉</t>
    </r>
    <r>
      <rPr>
        <i/>
        <vertAlign val="subscript"/>
        <sz val="11"/>
        <color theme="1"/>
        <rFont val="Calibri (Body)"/>
      </rPr>
      <t>j</t>
    </r>
  </si>
  <si>
    <t>Net calorific value of fuel type j (GJ per mass or volume unit)</t>
  </si>
  <si>
    <r>
      <t>𝐸𝐹</t>
    </r>
    <r>
      <rPr>
        <i/>
        <vertAlign val="subscript"/>
        <sz val="11"/>
        <color theme="1"/>
        <rFont val="Calibri (Body)"/>
      </rPr>
      <t>𝐶𝑂2,𝑗</t>
    </r>
  </si>
  <si>
    <t>CO2 emission factor of fuel type j (t CO2/GJ)</t>
  </si>
  <si>
    <t>Project Emissions</t>
  </si>
  <si>
    <r>
      <t>PE</t>
    </r>
    <r>
      <rPr>
        <i/>
        <vertAlign val="subscript"/>
        <sz val="11"/>
        <color theme="1"/>
        <rFont val="Calibri (Body)"/>
      </rPr>
      <t xml:space="preserve">y </t>
    </r>
  </si>
  <si>
    <t>Project emissions in year y (t CO2/yr)</t>
  </si>
  <si>
    <t>If the project emissions are related to the operation of geothermal power plants (e.g. noncondensable gases, electricity/fossil fuel consumption) then use field H100 in "AMS-I.A." schema,  if project emissions are from water reservoirs of hydro power plants then use field H108 in "AMS-I.A." schema, if  project emissions are from other types of renewable energy projects then use field H116 in "AMS-I.A." schema</t>
  </si>
  <si>
    <t xml:space="preserve">Project Emissions - Geothermal Power Plants </t>
  </si>
  <si>
    <t>Do project activities utilize biomass and/or biomass residues?</t>
  </si>
  <si>
    <r>
      <t>PE</t>
    </r>
    <r>
      <rPr>
        <i/>
        <vertAlign val="subscript"/>
        <sz val="11"/>
        <color theme="1"/>
        <rFont val="Calibri (Body)"/>
      </rPr>
      <t>BC</t>
    </r>
  </si>
  <si>
    <t>Project emissions resulting from the cultivation of biomass in a dedicated plantation of a CDM project activity that uses biomass</t>
  </si>
  <si>
    <r>
      <t>PE</t>
    </r>
    <r>
      <rPr>
        <i/>
        <vertAlign val="subscript"/>
        <sz val="11"/>
        <color theme="1"/>
        <rFont val="Calibri (Body)"/>
      </rPr>
      <t>BT</t>
    </r>
  </si>
  <si>
    <t>Project emissions resulting from the transportation of biomass</t>
  </si>
  <si>
    <r>
      <t>PE</t>
    </r>
    <r>
      <rPr>
        <i/>
        <vertAlign val="subscript"/>
        <sz val="11"/>
        <color theme="1"/>
        <rFont val="Calibri (Body)"/>
      </rPr>
      <t>BP</t>
    </r>
  </si>
  <si>
    <t xml:space="preserve">Project emissions resulting from the processing of biomass </t>
  </si>
  <si>
    <r>
      <t>PE</t>
    </r>
    <r>
      <rPr>
        <i/>
        <vertAlign val="subscript"/>
        <sz val="11"/>
        <color theme="1"/>
        <rFont val="Calibri (Body)"/>
      </rPr>
      <t>BRT</t>
    </r>
  </si>
  <si>
    <t>Project emissions resulting from the transportation of biomass residues</t>
  </si>
  <si>
    <r>
      <t>PE</t>
    </r>
    <r>
      <rPr>
        <i/>
        <vertAlign val="subscript"/>
        <sz val="11"/>
        <color theme="1"/>
        <rFont val="Calibri (Body)"/>
      </rPr>
      <t>BRP</t>
    </r>
  </si>
  <si>
    <t>Project emissions resulting from the processing of biomass residues</t>
  </si>
  <si>
    <t xml:space="preserve">Project Emissions - Water Reservoirs of Hydro Power Plants </t>
  </si>
  <si>
    <t>Project Emissions - Other Renewable Energy</t>
  </si>
  <si>
    <t xml:space="preserve">Leakage Emissions  </t>
  </si>
  <si>
    <r>
      <t>LE</t>
    </r>
    <r>
      <rPr>
        <i/>
        <vertAlign val="subscript"/>
        <sz val="11"/>
        <color theme="1"/>
        <rFont val="Calibri (Body)"/>
      </rPr>
      <t xml:space="preserve">y </t>
    </r>
  </si>
  <si>
    <t>Leakage emissions in year y (t CO2/yr)</t>
  </si>
  <si>
    <t xml:space="preserve">If leakage emissions are from energy generating equipment being  transferred from another activity then use field H120 in "AMS-I.A." schema, if leakage emissions are from project activities utilizing biomass and/or biomass residues then use field H122 of "AMS-I.A." schema, if leakage emissions do not need to be considered then use field H124 in "AMS-I.A." schema </t>
  </si>
  <si>
    <t>Leakage Emissions  - Transferred Energy Equipment</t>
  </si>
  <si>
    <t>Leakage Emissions  - Biomass</t>
  </si>
  <si>
    <t xml:space="preserve">Leakage Emissions  - None </t>
  </si>
  <si>
    <t>Emissions Reduction</t>
  </si>
  <si>
    <t>ImpactClaim.quantity</t>
  </si>
  <si>
    <r>
      <t>ER</t>
    </r>
    <r>
      <rPr>
        <i/>
        <vertAlign val="subscript"/>
        <sz val="11"/>
        <color theme="1"/>
        <rFont val="Calibri (Body)"/>
      </rPr>
      <t>y</t>
    </r>
  </si>
  <si>
    <t>Emission reductions in year y (t CO2e/yr)</t>
  </si>
  <si>
    <t>ImpactClaimCheckpoint.efBefore</t>
  </si>
  <si>
    <r>
      <t>BE</t>
    </r>
    <r>
      <rPr>
        <i/>
        <vertAlign val="subscript"/>
        <sz val="11"/>
        <color theme="1"/>
        <rFont val="Calibri (Body)"/>
      </rPr>
      <t>y</t>
    </r>
    <r>
      <rPr>
        <i/>
        <sz val="11"/>
        <color theme="1"/>
        <rFont val="Calibri"/>
        <family val="2"/>
        <scheme val="minor"/>
      </rPr>
      <t xml:space="preserve"> </t>
    </r>
  </si>
  <si>
    <t>Baseline emissions in year y (t CO2e/yr)</t>
  </si>
  <si>
    <t>ImpactClaimCheckpoint.efAfter</t>
  </si>
  <si>
    <r>
      <t>PE</t>
    </r>
    <r>
      <rPr>
        <i/>
        <vertAlign val="subscript"/>
        <sz val="11"/>
        <color theme="1"/>
        <rFont val="Calibri (Body)"/>
      </rPr>
      <t>y</t>
    </r>
    <r>
      <rPr>
        <i/>
        <sz val="11"/>
        <color theme="1"/>
        <rFont val="Calibri"/>
        <family val="2"/>
        <scheme val="minor"/>
      </rPr>
      <t xml:space="preserve"> </t>
    </r>
  </si>
  <si>
    <r>
      <t>LE</t>
    </r>
    <r>
      <rPr>
        <vertAlign val="subscript"/>
        <sz val="11"/>
        <color theme="1"/>
        <rFont val="Calibri (Body)"/>
      </rPr>
      <t xml:space="preserve">y </t>
    </r>
  </si>
  <si>
    <t>Leakage emissions in year y (t CO2/y)</t>
  </si>
  <si>
    <t>Selective Disclosure</t>
  </si>
  <si>
    <t>Multiple Answers</t>
  </si>
  <si>
    <t>Notes</t>
  </si>
  <si>
    <t>Emissions from the operation of dry steam, flash steam and binary geothermal power plants due to non-condensable gases and/or working fluid</t>
  </si>
  <si>
    <t>no</t>
  </si>
  <si>
    <r>
      <t>PE</t>
    </r>
    <r>
      <rPr>
        <vertAlign val="subscript"/>
        <sz val="18"/>
        <color theme="1"/>
        <rFont val="Calibri"/>
        <family val="2"/>
        <scheme val="minor"/>
      </rPr>
      <t>GP,y</t>
    </r>
  </si>
  <si>
    <t xml:space="preserve"> Project emissions from the operation of dry, flash steam or binary geothermal power plants in year y (t CO2e/yr) </t>
  </si>
  <si>
    <r>
      <t>PE</t>
    </r>
    <r>
      <rPr>
        <vertAlign val="subscript"/>
        <sz val="18"/>
        <color theme="1"/>
        <rFont val="Calibri"/>
        <family val="2"/>
        <scheme val="minor"/>
      </rPr>
      <t>dry or flash steam,y</t>
    </r>
  </si>
  <si>
    <t xml:space="preserve">Average mass fraction of carbon dioxide in the produced steam in year y (tCO2/t steam) </t>
  </si>
  <si>
    <r>
      <t>PE</t>
    </r>
    <r>
      <rPr>
        <vertAlign val="subscript"/>
        <sz val="18"/>
        <color theme="1"/>
        <rFont val="Calibri"/>
        <family val="2"/>
        <scheme val="minor"/>
      </rPr>
      <t>binary,y</t>
    </r>
  </si>
  <si>
    <t xml:space="preserve">Average mass fraction of methane in the produced steam in year y (tCH4/t steam) </t>
  </si>
  <si>
    <t>Project emissions from dry or flash steam geothermal power plants</t>
  </si>
  <si>
    <t>yes</t>
  </si>
  <si>
    <t>Number</t>
  </si>
  <si>
    <r>
      <t>W</t>
    </r>
    <r>
      <rPr>
        <vertAlign val="subscript"/>
        <sz val="18"/>
        <color theme="1"/>
        <rFont val="Calibri"/>
        <family val="2"/>
        <scheme val="minor"/>
      </rPr>
      <t>steam,CO2,y</t>
    </r>
  </si>
  <si>
    <t xml:space="preserve">Average mass fraction of CO2 in the produced steam in year y (t CO2/t steam) </t>
  </si>
  <si>
    <r>
      <t>W</t>
    </r>
    <r>
      <rPr>
        <vertAlign val="subscript"/>
        <sz val="18"/>
        <color theme="1"/>
        <rFont val="Calibri"/>
        <family val="2"/>
        <scheme val="minor"/>
      </rPr>
      <t>steam,CH4,y</t>
    </r>
  </si>
  <si>
    <t>Average mass fraction of CH4 in the produced steam in year y (t CH4/t steam)</t>
  </si>
  <si>
    <r>
      <t>GWP</t>
    </r>
    <r>
      <rPr>
        <vertAlign val="subscript"/>
        <sz val="18"/>
        <color theme="1"/>
        <rFont val="Calibri"/>
        <family val="2"/>
        <scheme val="minor"/>
      </rPr>
      <t>CH4</t>
    </r>
  </si>
  <si>
    <t xml:space="preserve">Global warming potential of CH4 valid for the relevant commitment period (t CO2e/t CH4) </t>
  </si>
  <si>
    <t>Check for default values.</t>
  </si>
  <si>
    <r>
      <t>M</t>
    </r>
    <r>
      <rPr>
        <vertAlign val="subscript"/>
        <sz val="18"/>
        <color theme="1"/>
        <rFont val="Calibri"/>
        <family val="2"/>
        <scheme val="minor"/>
      </rPr>
      <t>steam,y</t>
    </r>
  </si>
  <si>
    <t xml:space="preserve">Quantity of steam produced in year y (t steam/yr) </t>
  </si>
  <si>
    <t>Project emissions from binary geothermal power plants</t>
  </si>
  <si>
    <r>
      <t>PE</t>
    </r>
    <r>
      <rPr>
        <vertAlign val="subscript"/>
        <sz val="18"/>
        <color theme="1"/>
        <rFont val="Calibri"/>
        <family val="2"/>
        <scheme val="minor"/>
      </rPr>
      <t>steam,y</t>
    </r>
  </si>
  <si>
    <t>Project emissions from the operation of binary geothermal power plants due to physical leakage of non-condensable gases in year y (t CO2e/yr). In case the difference between steam inflow and outflow to the power plant is less than 1%, then the project participants are not required to account these project emissions</t>
  </si>
  <si>
    <r>
      <t>PE</t>
    </r>
    <r>
      <rPr>
        <vertAlign val="subscript"/>
        <sz val="18"/>
        <color theme="1"/>
        <rFont val="Calibri"/>
        <family val="2"/>
        <scheme val="minor"/>
      </rPr>
      <t>working fluid,y</t>
    </r>
  </si>
  <si>
    <t>Project emissions from the operation of binary geothermal power plants due to physical leakage of working fluid contained in heat exchangers in year y (t CO2e/yr)</t>
  </si>
  <si>
    <r>
      <t>M</t>
    </r>
    <r>
      <rPr>
        <vertAlign val="subscript"/>
        <sz val="18"/>
        <color theme="1"/>
        <rFont val="Calibri"/>
        <family val="2"/>
        <scheme val="minor"/>
      </rPr>
      <t>inflow,y</t>
    </r>
  </si>
  <si>
    <t xml:space="preserve">Quantity of steam entering the geothermal plant in year y (t steam/yr) </t>
  </si>
  <si>
    <r>
      <t>M</t>
    </r>
    <r>
      <rPr>
        <vertAlign val="subscript"/>
        <sz val="18"/>
        <color theme="1"/>
        <rFont val="Calibri"/>
        <family val="2"/>
        <scheme val="minor"/>
      </rPr>
      <t>outflow,y</t>
    </r>
  </si>
  <si>
    <t>Quantity of steam leaving the geothermal plant in year y (t steam/yr)</t>
  </si>
  <si>
    <r>
      <t>M</t>
    </r>
    <r>
      <rPr>
        <vertAlign val="subscript"/>
        <sz val="18"/>
        <color theme="1"/>
        <rFont val="Calibri"/>
        <family val="2"/>
        <scheme val="minor"/>
      </rPr>
      <t>working fluid,y</t>
    </r>
  </si>
  <si>
    <t>Quantity of working fluid leaked/reinjected in year y (t working fluid/yr)</t>
  </si>
  <si>
    <r>
      <t>GWP</t>
    </r>
    <r>
      <rPr>
        <vertAlign val="subscript"/>
        <sz val="18"/>
        <color theme="1"/>
        <rFont val="Calibri"/>
        <family val="2"/>
        <scheme val="minor"/>
      </rPr>
      <t>working fluid</t>
    </r>
  </si>
  <si>
    <t>Global Warming Potential for the working fluid used in the binary geothermal power plan</t>
  </si>
  <si>
    <t>Project emissions from water reservoirs of hydro power plants</t>
  </si>
  <si>
    <r>
      <t>PE</t>
    </r>
    <r>
      <rPr>
        <vertAlign val="subscript"/>
        <sz val="18"/>
        <color theme="1"/>
        <rFont val="Calibri"/>
        <family val="2"/>
        <scheme val="minor"/>
      </rPr>
      <t>HP,y</t>
    </r>
  </si>
  <si>
    <t xml:space="preserve">Project emissions from water reservoirs of hydro power plants in year y (tCO2e/yr) </t>
  </si>
  <si>
    <r>
      <t xml:space="preserve">Emissions from water reservoirs of </t>
    </r>
    <r>
      <rPr>
        <b/>
        <u/>
        <sz val="16"/>
        <color rgb="FF000000"/>
        <rFont val="Calibri"/>
        <family val="2"/>
        <scheme val="minor"/>
      </rPr>
      <t>integrated</t>
    </r>
    <r>
      <rPr>
        <b/>
        <sz val="16"/>
        <color rgb="FF000000"/>
        <rFont val="Calibri"/>
        <family val="2"/>
        <scheme val="minor"/>
      </rPr>
      <t xml:space="preserve"> hydro power plants </t>
    </r>
  </si>
  <si>
    <t>number</t>
  </si>
  <si>
    <t>PD</t>
  </si>
  <si>
    <t xml:space="preserve">Power density of the project activity (W/m2) </t>
  </si>
  <si>
    <r>
      <t>Cap</t>
    </r>
    <r>
      <rPr>
        <i/>
        <vertAlign val="subscript"/>
        <sz val="18"/>
        <color theme="1"/>
        <rFont val="Calibri"/>
        <family val="2"/>
        <scheme val="minor"/>
      </rPr>
      <t>PJ,i</t>
    </r>
  </si>
  <si>
    <r>
      <t xml:space="preserve">Installed capacity of the hydro power plant after the implementation of the project activity (W)
</t>
    </r>
    <r>
      <rPr>
        <i/>
        <sz val="12"/>
        <color theme="1"/>
        <rFont val="Calibri"/>
        <family val="2"/>
        <scheme val="minor"/>
      </rPr>
      <t>i</t>
    </r>
    <r>
      <rPr>
        <sz val="12"/>
        <color theme="1"/>
        <rFont val="Calibri"/>
        <family val="2"/>
        <scheme val="minor"/>
      </rPr>
      <t xml:space="preserve">=Individual power plants included in integrated hydro power project </t>
    </r>
  </si>
  <si>
    <r>
      <t>A</t>
    </r>
    <r>
      <rPr>
        <i/>
        <vertAlign val="subscript"/>
        <sz val="18"/>
        <color theme="1"/>
        <rFont val="Calibri"/>
        <family val="2"/>
        <scheme val="minor"/>
      </rPr>
      <t>PJ,j</t>
    </r>
  </si>
  <si>
    <r>
      <t>Area of the single or multiple reservoirs measured in the surface of the water, after the implementation of the project activity, when the reservoir is full (m</t>
    </r>
    <r>
      <rPr>
        <vertAlign val="superscript"/>
        <sz val="12"/>
        <color theme="1"/>
        <rFont val="Calibri"/>
        <family val="2"/>
        <scheme val="minor"/>
      </rPr>
      <t>2</t>
    </r>
    <r>
      <rPr>
        <sz val="12"/>
        <color theme="1"/>
        <rFont val="Calibri"/>
        <family val="2"/>
        <scheme val="minor"/>
      </rPr>
      <t xml:space="preserve">) 
</t>
    </r>
    <r>
      <rPr>
        <i/>
        <sz val="12"/>
        <color theme="1"/>
        <rFont val="Calibri"/>
        <family val="2"/>
        <scheme val="minor"/>
      </rPr>
      <t>j</t>
    </r>
    <r>
      <rPr>
        <sz val="12"/>
        <color theme="1"/>
        <rFont val="Calibri"/>
        <family val="2"/>
        <scheme val="minor"/>
      </rPr>
      <t xml:space="preserve">=Individual reservoirs included in integrated hydro power project </t>
    </r>
  </si>
  <si>
    <t>auto-calculate</t>
  </si>
  <si>
    <t>2 Options:
- If the power density of the project activity using equation 8 (in cell G3) is greater than 4 W/m2 and less than or equal to 10 W/m2 then use equation in G6
- If the power density of the project activity is greater than 10 W/m2 then PEhp,y=0</t>
  </si>
  <si>
    <r>
      <t>EF</t>
    </r>
    <r>
      <rPr>
        <vertAlign val="subscript"/>
        <sz val="18"/>
        <color theme="1"/>
        <rFont val="Calibri"/>
        <family val="2"/>
        <scheme val="minor"/>
      </rPr>
      <t>Res</t>
    </r>
  </si>
  <si>
    <t xml:space="preserve">Default emission factor for emissions from reservoirs of hydro power plants (kg CO2e/MWh) </t>
  </si>
  <si>
    <r>
      <t>TEG</t>
    </r>
    <r>
      <rPr>
        <vertAlign val="subscript"/>
        <sz val="18"/>
        <color theme="1"/>
        <rFont val="Calibri"/>
        <family val="2"/>
        <scheme val="minor"/>
      </rPr>
      <t>y</t>
    </r>
  </si>
  <si>
    <t>Total electricity produced by the project activity, including the electricity supplied to the grid and the electricity supplied to internal loads, in year y (MWh)</t>
  </si>
  <si>
    <t xml:space="preserve">Questionnaire to determine calculation method </t>
  </si>
  <si>
    <t>Enum</t>
  </si>
  <si>
    <t>If emissions are calculated for electricity consumption, then tool 05 is only applicable if one out of the following three scenarios applies to the sources of electricity consumption, please select the appropriate one for your project:</t>
  </si>
  <si>
    <r>
      <rPr>
        <b/>
        <sz val="11"/>
        <color theme="1"/>
        <rFont val="Calibri"/>
        <family val="2"/>
        <scheme val="minor"/>
      </rPr>
      <t xml:space="preserve">Scenario A: </t>
    </r>
    <r>
      <rPr>
        <sz val="12"/>
        <color theme="1"/>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1"/>
        <color theme="1"/>
        <rFont val="Calibri"/>
        <family val="2"/>
        <scheme val="minor"/>
      </rPr>
      <t xml:space="preserve">Scenario B: </t>
    </r>
    <r>
      <rPr>
        <sz val="12"/>
        <color theme="1"/>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1"/>
        <color theme="1"/>
        <rFont val="Calibri"/>
        <family val="2"/>
        <scheme val="minor"/>
      </rPr>
      <t>Scenario C:</t>
    </r>
    <r>
      <rPr>
        <sz val="12"/>
        <color theme="1"/>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</si>
  <si>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t>If/Then</t>
  </si>
  <si>
    <t>If PP selects Scenario A then they can choose from:</t>
  </si>
  <si>
    <r>
      <rPr>
        <b/>
        <sz val="11"/>
        <color theme="1"/>
        <rFont val="Calibri"/>
        <family val="2"/>
        <scheme val="minor"/>
      </rPr>
      <t>Default Values</t>
    </r>
    <r>
      <rPr>
        <sz val="12"/>
        <color theme="1"/>
        <rFont val="Calibri"/>
        <family val="2"/>
        <scheme val="minor"/>
      </rPr>
      <t xml:space="preserve"> is the only option until Tool 07 is available </t>
    </r>
    <r>
      <rPr>
        <sz val="11"/>
        <color rgb="FFFF0000"/>
        <rFont val="Calibri"/>
        <family val="2"/>
        <scheme val="minor"/>
      </rPr>
      <t xml:space="preserve">(Option A2 = Cell F29 is used for F19 and F21, Cell F30 is used for F20) </t>
    </r>
  </si>
  <si>
    <t>If PP selects Scenario B then they can choose from:</t>
  </si>
  <si>
    <r>
      <t xml:space="preserve">Monitored Data or Default Value. </t>
    </r>
    <r>
      <rPr>
        <sz val="11"/>
        <color rgb="FFFF0000"/>
        <rFont val="Calibri"/>
        <family val="2"/>
        <scheme val="minor"/>
      </rPr>
      <t>(If PP selects Default Value then Cell F35 is used in F19 And F21, F36 will be used in F20)</t>
    </r>
  </si>
  <si>
    <t xml:space="preserve">If PP selects Monitored Data then "Select the option that best suits your project": </t>
  </si>
  <si>
    <r>
      <rPr>
        <b/>
        <sz val="11"/>
        <color theme="1"/>
        <rFont val="Calibri"/>
        <family val="2"/>
        <scheme val="minor"/>
      </rPr>
      <t>Option 1:</t>
    </r>
    <r>
      <rPr>
        <sz val="12"/>
        <color theme="1"/>
        <rFont val="Calibri"/>
        <family val="2"/>
        <scheme val="minor"/>
      </rPr>
      <t xml:space="preserve"> Heat generation is ignored or</t>
    </r>
    <r>
      <rPr>
        <b/>
        <sz val="11"/>
        <color theme="1"/>
        <rFont val="Calibri"/>
        <family val="2"/>
        <scheme val="minor"/>
      </rPr>
      <t xml:space="preserve"> Option 2:</t>
    </r>
    <r>
      <rPr>
        <sz val="12"/>
        <color theme="1"/>
        <rFont val="Calibri"/>
        <family val="2"/>
        <scheme val="minor"/>
      </rPr>
      <t xml:space="preserve"> Fuel consumption is between electricity and heat generation. </t>
    </r>
    <r>
      <rPr>
        <sz val="11"/>
        <color rgb="FFFF0000"/>
        <rFont val="Calibri"/>
        <family val="2"/>
        <scheme val="minor"/>
      </rPr>
      <t>(If PP selects Option 1 the Cell F32 will be used in F19, F20 and F21, if Option 2 then Cell F33 is used in F19, F20 and F21)</t>
    </r>
  </si>
  <si>
    <t xml:space="preserve">Scanario C: Electricity consumption from the grid and fossil fuel fired captive power plant(s). Please select the appropriate option for your project: </t>
  </si>
  <si>
    <r>
      <rPr>
        <b/>
        <sz val="11"/>
        <color theme="1"/>
        <rFont val="Calibri"/>
        <family val="2"/>
        <scheme val="minor"/>
      </rPr>
      <t xml:space="preserve">Case 1: </t>
    </r>
    <r>
      <rPr>
        <sz val="12"/>
        <color theme="1"/>
        <rFont val="Calibri"/>
        <family val="2"/>
        <scheme val="minor"/>
      </rPr>
      <t xml:space="preserve">Grid electricity. The implementation of the project activity only
affects the quantity of electricity that is supplied from the grid and not the operation
of the captive power plant. </t>
    </r>
    <r>
      <rPr>
        <b/>
        <sz val="11"/>
        <color theme="1"/>
        <rFont val="Calibri"/>
        <family val="2"/>
        <scheme val="minor"/>
      </rPr>
      <t xml:space="preserve">Case 2: </t>
    </r>
    <r>
      <rPr>
        <sz val="12"/>
        <color theme="1"/>
        <rFont val="Calibri"/>
        <family val="2"/>
        <scheme val="minor"/>
      </rPr>
      <t xml:space="preserve">Electricity from captive power plant(s). The implementation of the project activity is clearly demonstrated to only affect the quantity of electricity that is generated in the captive power plant(s) and does not affect the quantity of electricity supplied from the grid. </t>
    </r>
    <r>
      <rPr>
        <b/>
        <sz val="11"/>
        <color theme="1"/>
        <rFont val="Calibri"/>
        <family val="2"/>
        <scheme val="minor"/>
      </rPr>
      <t xml:space="preserve">Case 3: </t>
    </r>
    <r>
      <rPr>
        <sz val="12"/>
        <color theme="1"/>
        <rFont val="Calibri"/>
        <family val="2"/>
        <scheme val="minor"/>
      </rPr>
      <t>Electricity from both the grid and captive power plant(s). The implementation of the project activity may affect both the quantity of electricity that is generated in the captive power plant(s) and the quantity of electricity supplied from the grid.</t>
    </r>
  </si>
  <si>
    <t>If PP selects Case 1 then they have to use the stated calculation approach:</t>
  </si>
  <si>
    <t>If PP selects Case 2 then "Select which calculation apporoach you'd like to use":</t>
  </si>
  <si>
    <r>
      <t xml:space="preserve">Monitored Data or Default Value. </t>
    </r>
    <r>
      <rPr>
        <sz val="11"/>
        <color rgb="FFFF0000"/>
        <rFont val="Calibri"/>
        <family val="2"/>
        <scheme val="minor"/>
      </rPr>
      <t>(If PP selects Default Value then Cell F35 is used in F19 and F21, F36 will be used in F20)</t>
    </r>
  </si>
  <si>
    <t>Auto-Calculated</t>
  </si>
  <si>
    <t>If PP selects Case 3 then they have to use:</t>
  </si>
  <si>
    <t>F35 wil be used for F19 and F21, F36 will be used for F20</t>
  </si>
  <si>
    <t>Generic approach</t>
  </si>
  <si>
    <t>𝑃𝐸𝐸𝐶,y</t>
  </si>
  <si>
    <t>Project emissions from electricity consumption in year y (t CO2 / yr)</t>
  </si>
  <si>
    <t>𝐵𝐸𝐸𝐶,y</t>
  </si>
  <si>
    <t>Baseline emissions from electricity consumption in year y (t CO2 / yr)</t>
  </si>
  <si>
    <t>𝐿𝐸𝐸𝐶,y</t>
  </si>
  <si>
    <t>Leakage emissions from electricity consumption in year y (t CO2 / yr)</t>
  </si>
  <si>
    <t>𝐸𝐶𝑃𝐽,𝑗,y</t>
  </si>
  <si>
    <t>Quantity of electricity consumed by the project electricity consumption source in year y (MWh/yr)</t>
  </si>
  <si>
    <t>𝐸𝐶𝐵𝐿,𝑘,y</t>
  </si>
  <si>
    <t>Quantity of electricity that would be consumed by the baseline electricity consumer in year y (MWh/yr)</t>
  </si>
  <si>
    <t>𝐸𝐶𝐿𝐸,𝑙,y</t>
  </si>
  <si>
    <t>Net increase in electricity consumption of source in year y as a result of leakage (MWh/yr)</t>
  </si>
  <si>
    <t>𝐸𝐹𝐸𝐹,𝑗,y</t>
  </si>
  <si>
    <t>Project emission factor for electricity generation for source in year y (t CO2/MWh)</t>
  </si>
  <si>
    <t xml:space="preserve">This value comes from F29, F32, F33, F35 or F38. Depends on questionnaire response from Project Proponent </t>
  </si>
  <si>
    <t>𝐸𝐹𝐸𝐹,𝑘,y</t>
  </si>
  <si>
    <t>Baseline emission factor for electricity generation for source in year y (t CO2/MWh)</t>
  </si>
  <si>
    <t xml:space="preserve">This value comes from F30, F32, F33, F36 or F38. Depends on questionnaire response from Project Proponent </t>
  </si>
  <si>
    <t>𝐸𝐹𝐸𝐹,𝑙,y</t>
  </si>
  <si>
    <t>Leakage emission factor for electricity generation for source in year y (t CO2/MWh)</t>
  </si>
  <si>
    <t>𝑇𝐷𝐿𝑗,y</t>
  </si>
  <si>
    <t>Average technical transmission and distribution losses for providing electricity to source for project in year y</t>
  </si>
  <si>
    <t>𝑇𝐷𝐿𝑘,y</t>
  </si>
  <si>
    <t>Average technical transmission and distribution losses for providing electricity to source for baseline in year y</t>
  </si>
  <si>
    <t>𝑇𝐷𝐿𝑙,y</t>
  </si>
  <si>
    <t>Average technical transmission and distribution losses for providing electricity to source for leakage in year y</t>
  </si>
  <si>
    <t>Sources of electricity consumption in the project</t>
  </si>
  <si>
    <t>k</t>
  </si>
  <si>
    <t>Sources of electricity consumption in the baseline</t>
  </si>
  <si>
    <t>l</t>
  </si>
  <si>
    <t>Leakage sources of electricity consumption</t>
  </si>
  <si>
    <t>Scenario A: Electricity consumption from the grid (Default Values)</t>
  </si>
  <si>
    <t>Electricity consumption from the grid for project and leakage scenario calculations (CO2/MWh)</t>
  </si>
  <si>
    <t>Electricity consumption from the grid for baseline scenario calculations (CO2/MWh)</t>
  </si>
  <si>
    <t>Scenario B1: Electricity consumption from an off-grid captive power plant</t>
  </si>
  <si>
    <t>𝐸𝐹𝐸𝐿,𝑗/𝑘/𝑙,𝑦</t>
  </si>
  <si>
    <t>Emission factor for electricity generation for source j, k or l in year y (where the heat
generation is ignored (t CO2/MWh)</t>
  </si>
  <si>
    <t>Emission factor for electricity generation for source j, k or l in year y (fuel consumption between electricity and heat generation) (t CO2/MWh)</t>
  </si>
  <si>
    <t>Scenario B2:  Electricity consumption from an off-grid captive power plant (Conservative Default Values)</t>
  </si>
  <si>
    <t>`</t>
  </si>
  <si>
    <t>Alternative approaches for project and/or leakage emissions</t>
  </si>
  <si>
    <t>Project emissions from electricity consumption by source(s) j in year y (t CO2 / yr)</t>
  </si>
  <si>
    <t>Leakage emissions from electricity consumption by source(s) l in year y (t CO2 / yr)</t>
  </si>
  <si>
    <t>Rated capacity of the captive power plant(s) that provide the project electricity consumption source(s) with electricity (MW)</t>
  </si>
  <si>
    <t>Rated capacity of the captive power plant(s) that provide the leakage electricity consumption source(s) with electricity (MW)</t>
  </si>
  <si>
    <t>[Click to Add Fossil Fuel Captive Power Plant]</t>
  </si>
  <si>
    <t xml:space="preserve">Plant Name </t>
  </si>
  <si>
    <t>Plant 1</t>
  </si>
  <si>
    <t>Auto-calculate</t>
  </si>
  <si>
    <t>Select one</t>
  </si>
  <si>
    <t>Type of fossil fuel used</t>
  </si>
  <si>
    <t>see options in "Tool 05 Fuel type emission fact" sheet</t>
  </si>
  <si>
    <t xml:space="preserve">𝐹𝐶𝑛,𝑖,𝑡 </t>
  </si>
  <si>
    <t>Quantity of fossil fuel fired in the captive power plant in the time period described in the project details (cubric meters, metric ton, or liters)</t>
  </si>
  <si>
    <t>𝑁𝐶𝑉𝑖,𝑡</t>
  </si>
  <si>
    <t>Average net calorific value of the fossil fuel type used in the period t (GJ / mass or volume unit)</t>
  </si>
  <si>
    <t>𝐸𝐹𝐶𝑂2,𝑖,t</t>
  </si>
  <si>
    <t>Average CO2 emission factor of the fossil fuel type used in the period t (t CO2 / GJ)</t>
  </si>
  <si>
    <t>𝐸𝐺𝑛,t</t>
  </si>
  <si>
    <t>Quantity of electricity generated in captive the power plant in the time period decribed in the projet details (MWh)</t>
  </si>
  <si>
    <t>𝐻𝐺𝑛,t</t>
  </si>
  <si>
    <t>Quantity of heat co-generated in captive power plant n in the time period t (GJ). (Only applicable if the CO2 emission factor for electricity generation is calculated by allocating
the fuel consumption between electricity and heat generation)</t>
  </si>
  <si>
    <t>ηboiler,y</t>
  </si>
  <si>
    <t>Efficiency of the boiler in which heat is assumed to be generated in the absence of a cogeneration plant in project/leakage scenario</t>
  </si>
  <si>
    <t>Efficiency of the boiler in which heat is assumed to be generated in the absence of a cogeneration plant in baseline scenario</t>
  </si>
  <si>
    <t>Plant 2</t>
  </si>
  <si>
    <t>Select One</t>
  </si>
  <si>
    <t>Default Net Calorific Values (NCVs)</t>
  </si>
  <si>
    <t xml:space="preserve">Fuel Type </t>
  </si>
  <si>
    <t>Net Calorific Value (TJ/Gg)</t>
  </si>
  <si>
    <t>Crude Oil</t>
  </si>
  <si>
    <t>Orimulsion</t>
  </si>
  <si>
    <t>Natural Gas Liquids</t>
  </si>
  <si>
    <t>Motor Gasoline</t>
  </si>
  <si>
    <t>Aviation Gasoline</t>
  </si>
  <si>
    <t>Jet Gasoline</t>
  </si>
  <si>
    <t>Jet Kerosene</t>
  </si>
  <si>
    <t>Other Kerosene</t>
  </si>
  <si>
    <t>Shale Oil</t>
  </si>
  <si>
    <t>Gas/Diesel Oil</t>
  </si>
  <si>
    <t>Residual Fuel Oil</t>
  </si>
  <si>
    <t>Liquefied Petroleum Gases</t>
  </si>
  <si>
    <t>Ethane</t>
  </si>
  <si>
    <t>Naphtha</t>
  </si>
  <si>
    <t>Bitumen</t>
  </si>
  <si>
    <t>Lubricants</t>
  </si>
  <si>
    <t>Petroleum Coke</t>
  </si>
  <si>
    <t>Refinery Feedstocks</t>
  </si>
  <si>
    <t>Refinery Gas</t>
  </si>
  <si>
    <t>Paraffin Waxes</t>
  </si>
  <si>
    <t>White Spirit &amp; SBP</t>
  </si>
  <si>
    <t>Other Petroleum Products</t>
  </si>
  <si>
    <t>Anthracite</t>
  </si>
  <si>
    <t>Coking Coal</t>
  </si>
  <si>
    <t>Other Bituminous Coal</t>
  </si>
  <si>
    <t>Sub-Bituminous Coal</t>
  </si>
  <si>
    <t>Lignite</t>
  </si>
  <si>
    <t>Oil Shale and Tar Sands</t>
  </si>
  <si>
    <t>Brown Coal Briquettes</t>
  </si>
  <si>
    <t>Patent Fuel</t>
  </si>
  <si>
    <t>Coke oven coke and lignite Coke</t>
  </si>
  <si>
    <t>Gas Coke</t>
  </si>
  <si>
    <t>Coal Tar</t>
  </si>
  <si>
    <t>Gas Works Gas</t>
  </si>
  <si>
    <t>Coke Oven Gas</t>
  </si>
  <si>
    <t xml:space="preserve">Blast Furnace Gas </t>
  </si>
  <si>
    <t>Oxygen Steel Furnace Gas</t>
  </si>
  <si>
    <t>Natural Gas</t>
  </si>
  <si>
    <t>Municipal Wastes (non-biomass fraction)</t>
  </si>
  <si>
    <t>Waste Oil</t>
  </si>
  <si>
    <t>Peat</t>
  </si>
  <si>
    <t>Wood/Wood Waste</t>
  </si>
  <si>
    <t>Sulphite lyes (black liquor)</t>
  </si>
  <si>
    <t>Other Primary Solid Biomass</t>
  </si>
  <si>
    <t>Charcoal</t>
  </si>
  <si>
    <t>Biogasoline</t>
  </si>
  <si>
    <t>Biodiesels</t>
  </si>
  <si>
    <t>Other Liquid Biofuels</t>
  </si>
  <si>
    <t>Landfill Gas</t>
  </si>
  <si>
    <t>Sludge Gas</t>
  </si>
  <si>
    <t>Other Biogas</t>
  </si>
  <si>
    <t>Municipal Wastes (biomass fraction)</t>
  </si>
  <si>
    <t>Default CO2 Emission Factors for Combustion (EFCO2)</t>
  </si>
  <si>
    <t>Effective CO2 Emission Factor (kg/TJ)</t>
  </si>
  <si>
    <t>Industrial Wastes</t>
  </si>
  <si>
    <t>Carbon dioxide emission factor for diesel generating system used for offgrid power generation purposes</t>
  </si>
  <si>
    <t>Table 1</t>
  </si>
  <si>
    <t>Cases</t>
  </si>
  <si>
    <t>Mini-grid with 24 hour service</t>
  </si>
  <si>
    <t>(a) Mini-grid with temporary service (4 – 6 hr/day); (b) Productive applications; (c) Water pumps</t>
  </si>
  <si>
    <t>Mini-grid with storage</t>
  </si>
  <si>
    <t>Load factors [%]</t>
  </si>
  <si>
    <t>Size</t>
  </si>
  <si>
    <t>&lt;15 kilowatts (kW)</t>
  </si>
  <si>
    <t xml:space="preserve">&gt;=15 &lt;35 kW </t>
  </si>
  <si>
    <t>&gt;=35 &lt;135 kW</t>
  </si>
  <si>
    <t>&gt;=135&lt;200 kW</t>
  </si>
  <si>
    <t>&gt; 200 kW</t>
  </si>
  <si>
    <t>Carbon dioxide emission factor for kerosene used for lighting applications</t>
  </si>
  <si>
    <r>
      <rPr>
        <sz val="11"/>
        <color rgb="FF000000"/>
        <rFont val="Calibri"/>
        <family val="2"/>
      </rPr>
      <t xml:space="preserve">For the </t>
    </r>
    <r>
      <rPr>
        <b/>
        <sz val="11"/>
        <color rgb="FF000000"/>
        <rFont val="Calibri"/>
        <family val="2"/>
      </rPr>
      <t>first 55 kWh</t>
    </r>
    <r>
      <rPr>
        <sz val="11"/>
        <color rgb="FF000000"/>
        <rFont val="Calibri"/>
        <family val="2"/>
      </rPr>
      <t xml:space="preserve"> of electricity supplied to the user by the project electricity generating system in a given year</t>
    </r>
  </si>
  <si>
    <t>2.72 kg</t>
  </si>
  <si>
    <t xml:space="preserve">Electricity supplied that is above 55kWh </t>
  </si>
  <si>
    <t xml:space="preserve">Table 1 </t>
  </si>
  <si>
    <t>Wood-to-charcoal conversion factor</t>
  </si>
  <si>
    <t>Wood-to-charcoal conversion factor; kg of fuelwood (wet basis)
per kg of charcoal (dry basis)</t>
  </si>
  <si>
    <t>Fraction of non-renewable biomass</t>
  </si>
  <si>
    <t>The fraction of non-renewable biomass (fNRB)</t>
  </si>
  <si>
    <t>Efficiency of pre-project cooking device</t>
  </si>
  <si>
    <t>A three-stone fire using firewood (not charcoal)</t>
  </si>
  <si>
    <t>A cookstove with no improved combustion air supply or flue gas ventilation</t>
  </si>
  <si>
    <t>Other type of devices</t>
  </si>
  <si>
    <t>Required</t>
  </si>
  <si>
    <t xml:space="preserve">Questionnaire </t>
  </si>
  <si>
    <t xml:space="preserve">What is the scale of the project </t>
  </si>
  <si>
    <t>Small or Micro</t>
  </si>
  <si>
    <t xml:space="preserve">No </t>
  </si>
  <si>
    <t xml:space="preserve">Are biomass residues consumed in a CDM project activity, and the biomass residues can be utilized after processing or without processing? </t>
  </si>
  <si>
    <t xml:space="preserve">Do the project activities include biomass cultivation? </t>
  </si>
  <si>
    <t>Does the land on which biomass is cultivated contain wetlands?</t>
  </si>
  <si>
    <t>Omitted</t>
  </si>
  <si>
    <t>Does the land on which biomass is cultivated contain organic soils?</t>
  </si>
  <si>
    <t>Is the land on which biomass is cultivated subjected to flood irrigation?</t>
  </si>
  <si>
    <t>Does the land on which biomass is cultivated contain forest or contained forest since 31 December 1989?</t>
  </si>
  <si>
    <t xml:space="preserve">Is desalination a substantial source of water in the host country? </t>
  </si>
  <si>
    <t xml:space="preserve">Does the land on which biomass is cultivated contain a forest plantation? </t>
  </si>
  <si>
    <t xml:space="preserve">Will the forest plantation be harvested before the start of the project and the land be neither reforested nor will regenerate on its own into a forest in the absence of the project activity? </t>
  </si>
  <si>
    <t>Identify and describe realistic and credible alternatives with regard to the possible land use scenarios that would occur in the absence of the project activity.</t>
  </si>
  <si>
    <t xml:space="preserve">String </t>
  </si>
  <si>
    <t>Assess the economic attractiveness of the existing forest plantation by applying Step 2 of the “TOOL01: Tool for the demonstration and assessment of additionality. Does sensitivity analysis conclude that the proposed CDM project activity is unlikely to be the most financially attractive or is unlikely to be financially attractive?</t>
  </si>
  <si>
    <t>Pull answer from Tool 01, Step 2</t>
  </si>
  <si>
    <t>Referenced Parameter</t>
  </si>
  <si>
    <t xml:space="preserve">Confirm, based on the plantation management practices in the region for the considered species, that it is the common practice to harvest the forest plantation and that the forest will not be reforested or regenerate back to forest in the absence of the project activity. </t>
  </si>
  <si>
    <t>Use relevant credible evidence, including but not limited to official land use maps,
satellite images/aerial photographs, cadastral information, official land use records.</t>
  </si>
  <si>
    <t>Image and/or document upload</t>
  </si>
  <si>
    <t>Applicability</t>
  </si>
  <si>
    <t xml:space="preserve">Auto-calculate </t>
  </si>
  <si>
    <t xml:space="preserve">Is the tool being used to calculate project emissions (PE) or leakage emissions (LE)? </t>
  </si>
  <si>
    <t>Project Emissions (PE)</t>
  </si>
  <si>
    <t xml:space="preserve">Will project emissions resulting from cultivation of biomass (PEbc,y) be included or omitted? </t>
  </si>
  <si>
    <t>Included</t>
  </si>
  <si>
    <t>Indicate the soil amendment agent type applied</t>
  </si>
  <si>
    <t>Urea</t>
  </si>
  <si>
    <r>
      <t>Will pr</t>
    </r>
    <r>
      <rPr>
        <sz val="11"/>
        <rFont val="Calibri"/>
        <family val="2"/>
        <scheme val="minor"/>
      </rPr>
      <t>oject emissions resulting from energy consumption (electricity and fuel) for biomass seeding and harvesting (PEbsh,ec,y)</t>
    </r>
    <r>
      <rPr>
        <sz val="12"/>
        <color theme="1"/>
        <rFont val="Calibri"/>
        <family val="2"/>
        <scheme val="minor"/>
      </rPr>
      <t xml:space="preserve"> be included or omitted? </t>
    </r>
  </si>
  <si>
    <t>Small scale project activities may, unless otherwise required by the methodology, neglect emissions from energy consumption associated with seeding and harvesting of biomass.</t>
  </si>
  <si>
    <t xml:space="preserve">Will project emissions resulting from transportation of biomass (PEbt,y) be included or omitted? </t>
  </si>
  <si>
    <t xml:space="preserve">Will project emissions resulting from transportation of biomass residues  (PEbrt,y) be included or omitted? </t>
  </si>
  <si>
    <t xml:space="preserve">Will project emissions resulting from processing of biomass (PEbp,y) be included or omitted? </t>
  </si>
  <si>
    <t xml:space="preserve">Will project emissions resulting from processing of biomass residues (PEbrp,y) be included or omitted? </t>
  </si>
  <si>
    <t xml:space="preserve">Is the wastewater originating from the processing of the biomass and biomass residues (partly) treated under anaerobic conditions with the methane from the wastewater not being captured and flared or combusted? </t>
  </si>
  <si>
    <t xml:space="preserve">Will leakage emissions due to shift of pre-project activities resulting from cultivation of biomass in a dedicated plantation (LEbc,y) be included or omitted? </t>
  </si>
  <si>
    <t>Was or would the plantation area have been abandoned land prior to the implementation of the project activity?</t>
  </si>
  <si>
    <t>Was the plantation area used prior to the implementation of the project area, but the pre-project land use of the plantation area will be accommodated for, providing at least the same level of service during the project activity, within the land area included in the project boundary?</t>
  </si>
  <si>
    <t>The project area may be expanded to accommodate for this condition.</t>
  </si>
  <si>
    <t xml:space="preserve">Will leakage emissions due to diversion of biomass residues from other
applications (LEbr,div,y) be included or omitted? </t>
  </si>
  <si>
    <t>Indicate the alternative scenario of the biomass residues in absence of the project activity</t>
  </si>
  <si>
    <t>B4: The biomass residues are used for energy or non-energy applications, or the primary source of the biomass residues and/or their fate cannot be clearly identified.</t>
  </si>
  <si>
    <t xml:space="preserve">Will leakage emissions due to the transportation of biomass residues outside
of the project boundary (LEbrt,y) be included or omitted? </t>
  </si>
  <si>
    <t xml:space="preserve">Will leakage emissions due to  processing of biomass residues outside the
project boundary (LEbrp,y) be included or omitted? </t>
  </si>
  <si>
    <t>PEbc,y</t>
  </si>
  <si>
    <t>Project emissions resulting from cultivation of biomass in a dedicated plantation in year y</t>
  </si>
  <si>
    <t>𝐴fr,𝑖,y</t>
  </si>
  <si>
    <t>Area of stratum i of land subjected to clearance or fire in year y (ha)</t>
  </si>
  <si>
    <t>𝑏i</t>
  </si>
  <si>
    <t>Fuel biomass consumption per hectare in stratum i of land subjected to clearance or fire (t dry matter/ha)</t>
  </si>
  <si>
    <t>Ri</t>
  </si>
  <si>
    <t>Root-shoot ratio (i.e. ratio of below-ground biomass to aboveground biomass) for stratum i of land subjected to clearance or fire</t>
  </si>
  <si>
    <t>𝑃𝐸bby</t>
  </si>
  <si>
    <t>Project emissions resulting from clearance or burning of biomass, in year y (t CO2e)</t>
  </si>
  <si>
    <t>[Click to add stratum]</t>
  </si>
  <si>
    <t xml:space="preserve">Repeat equation 8 for each stratum. </t>
  </si>
  <si>
    <t>𝑃𝐸bsh,ec,y</t>
  </si>
  <si>
    <t>Project emissions resulting from energy consumption (electricity and fuel) for biomass seeding and harvesting in year y (t CO2e)</t>
  </si>
  <si>
    <t xml:space="preserve">𝑃𝐸bsh,𝑒𝑙𝑒𝑐𝑡𝑟𝑖𝑐𝑖𝑡𝑦,𝑦 </t>
  </si>
  <si>
    <t>Project emissions from the consumption of electricity for biomass seeding and harvesting in year y (tCO2e)</t>
  </si>
  <si>
    <t>Parameter 𝑃𝐸ec,y from Tool 05</t>
  </si>
  <si>
    <t xml:space="preserve">Referenced Parameter </t>
  </si>
  <si>
    <t>𝑃𝐸bsh,𝑓𝑢𝑒𝑙,y</t>
  </si>
  <si>
    <t>Project emissions from the consumption of fossil fuels for biomass seeding and harvesting in year y (tCO2e)</t>
  </si>
  <si>
    <t>Parameter 𝑃𝐸fc,𝑗,y from Tool 03</t>
  </si>
  <si>
    <t>𝑃𝐸sa,y</t>
  </si>
  <si>
    <t>Project emissions resulting from soil amendment in year y (t CO2e)</t>
  </si>
  <si>
    <t>𝑞sa.𝑖,y</t>
  </si>
  <si>
    <t>Rate of application of soil amendment agent type i in year y (t/ha)</t>
  </si>
  <si>
    <t>𝐴sa,𝑖,y</t>
  </si>
  <si>
    <t>Area of land in which soil amendment agent type i is applied in year y (ha)</t>
  </si>
  <si>
    <t>𝐸𝐹sa,i,y</t>
  </si>
  <si>
    <t>Emission factor for CO2 emissions from application of soil amendment agent type i (t CO2e/t)</t>
  </si>
  <si>
    <t>Default values for limestone (0.12 t CO2e/t), dolomite (0.13 t CO2e/t) and urea (0.20 t CO2e/t) shall be used</t>
  </si>
  <si>
    <t xml:space="preserve">Repeat equation 6 for each stratum. </t>
  </si>
  <si>
    <t>𝑃𝐸sf,y</t>
  </si>
  <si>
    <t>Project emissions resulting from of soil fertilization and management in year y (t CO2e)</t>
  </si>
  <si>
    <t>𝑞n,y</t>
  </si>
  <si>
    <t>Rate of nitrogen applied in year y (t N/ha)</t>
  </si>
  <si>
    <t>𝐴ftm,y</t>
  </si>
  <si>
    <t>Area of land subjected to soil fertilization and management in year y (ha)</t>
  </si>
  <si>
    <t>𝐸𝐹ft</t>
  </si>
  <si>
    <t xml:space="preserve">Aggregate emission factor for N2O and CO2 emissions resulting from production and application of nitrogen (t CO2e/(t N)). </t>
  </si>
  <si>
    <t>Fixed default</t>
  </si>
  <si>
    <t xml:space="preserve">A default value of 11.29 t CO2e/(t N) shall be used. </t>
  </si>
  <si>
    <t>𝑃𝐸sm,y</t>
  </si>
  <si>
    <t>Project emissions resulting from soil management in year y</t>
  </si>
  <si>
    <t>Project emissions resulting from soil management in year y (tCO2e)</t>
  </si>
  <si>
    <t xml:space="preserve">∆𝑆𝑂𝐶𝑖 </t>
  </si>
  <si>
    <t>Loss of soil organic carbon in land stratum i ( t C)</t>
  </si>
  <si>
    <t>𝐴soc,i</t>
  </si>
  <si>
    <t>Area of land stratum i (ha)</t>
  </si>
  <si>
    <t>𝑆𝑂𝐶ref,i</t>
  </si>
  <si>
    <t>Reference SOC stock applicable to land stratum i (t C/ha)</t>
  </si>
  <si>
    <t>See Table 1 in defaults tab. After the first crediting period of the project, the value of PESOC,y shall be 0.</t>
  </si>
  <si>
    <t>𝑓lub,i</t>
  </si>
  <si>
    <t>Relative stock change factor for land-use in the baseline in stratum i</t>
  </si>
  <si>
    <t xml:space="preserve">See Tables 2-4 in defaults tab. </t>
  </si>
  <si>
    <t>𝑓mgb,i</t>
  </si>
  <si>
    <t>Relative stock change factor for land management in the baseline in stratum i</t>
  </si>
  <si>
    <t xml:space="preserve">See Table 2-4 in defaults tab. </t>
  </si>
  <si>
    <t>𝑓inb,i</t>
  </si>
  <si>
    <t>Relative stock change factor for input in the baseline in stratum i</t>
  </si>
  <si>
    <t>𝑓lup,i</t>
  </si>
  <si>
    <t>Relative stock change factor for land-use in the project in stratum i</t>
  </si>
  <si>
    <t>𝑓mgp,i</t>
  </si>
  <si>
    <t>Relative stock change factor for land management in the project in stratum i</t>
  </si>
  <si>
    <t>𝑓inp,i</t>
  </si>
  <si>
    <t>Relative stock change factor for input in the project in stratum i</t>
  </si>
  <si>
    <t xml:space="preserve">The totals of these results are summed by </t>
  </si>
  <si>
    <t xml:space="preserve">Repeat equation 3 for each stratum but do not sum. These will be summed by equation 2. </t>
  </si>
  <si>
    <t>𝑃𝐸soc,y</t>
  </si>
  <si>
    <t>Project emissions resulting from loss of soil organic carbon in year y (tCO2e)</t>
  </si>
  <si>
    <t>T</t>
  </si>
  <si>
    <t xml:space="preserve">Length of the first crediting period of the project in years </t>
  </si>
  <si>
    <t>For each stratum of the areas of land which is subjected to soil disturbance attributable to project activity and for which the total area disturbed is less than 10% of the area of the stratum, emissions resulting from loss of soil organic carbon may be accounted as zero. After the first crediting period of the project, the value of PESOC,y shall be 0.</t>
  </si>
  <si>
    <t>Biomass originating from land areas included in registered afforestation/reforestation (A/R) project activities may be considered to have no project emissions, provided that the emission reductions from the A/R project activity have been verified and issued for the time period in which the biomass was harvested.</t>
  </si>
  <si>
    <t>PEbt,y and PEbrt,y</t>
  </si>
  <si>
    <t>Project emissions resulting from transportation of biomass in year y and Project emissions resulting from transportation of biomass residues in year y</t>
  </si>
  <si>
    <t>As an alternative to the monitoring of the parameters needed to calculate the emissions from the transportation, project proponents may apply the following options: (a) For microscale and small-scale project activities, apply a default emission factor of
0.0142 tCO2/tonne of biomass. (b) For large-scale project activities, apply a net-to-gross adjustment of 10% , i.e. multiply the emission reductions determined based on the applied methodology by 0.9 to determine the final amount of emission reductions that can be claimed
0.9 to determine the final amount of emission reductions that can be claimed</t>
  </si>
  <si>
    <t>PEbt,y</t>
  </si>
  <si>
    <t>Project emissions resulting from transportation of biomass in year y</t>
  </si>
  <si>
    <t>Parameter PEtr,m from Tool 12</t>
  </si>
  <si>
    <t>(i) If the biomass produced is utilized without further processing, the route shall include only the transport of the biomass between the biomass production site and the biomass utilization facility;
(ii) If the biomass is processed before being utilized, the routes shall include the transport between (i) the biomass production site and the biomass processing facility, and (ii) the biomass processing facility and the biomass utilization facility;</t>
  </si>
  <si>
    <t>PEbrt,y</t>
  </si>
  <si>
    <t>Project emissions resulting from transportation of biomass residues in year y</t>
  </si>
  <si>
    <t>(i) If the biomass residues are consumed without further processing, the route shall include only the transport of the biomass residues between the biomass processing facility or the biomass generation site and the biomass residues
utilization facility; (ii) If the biomass residues are processed before being utilized, the routes shall include the transport between (i) the biomass processing facility or the biomass generation site and the biomass residues processing facility, and (ii) the biomass residues processing facility and the biomass residues utilization facility</t>
  </si>
  <si>
    <t>PEbp,y and PEbrp,y</t>
  </si>
  <si>
    <t>Project emissions resulting from processing of biomass in year y and Project emissions resulting from processing of biomass residues in year y</t>
  </si>
  <si>
    <t>𝑃𝐸bp,𝑎𝑑𝑑𝑖𝑡𝑖𝑣𝑒𝑠,𝑡𝑟𝑎𝑛𝑠𝑝𝑜𝑟t</t>
  </si>
  <si>
    <t>Project emissions from the transportation of the additives from the production site to the biomass processing facility (tCO2)</t>
  </si>
  <si>
    <t>Tool 12</t>
  </si>
  <si>
    <t>The simplifications contained in paragraph 31 also apply.</t>
  </si>
  <si>
    <t>𝑃𝐸bp,𝑎𝑑𝑑𝑖𝑡𝑖𝑣𝑒𝑠,𝑒𝑙𝑒𝑐𝑡𝑟𝑖𝑐𝑖𝑡𝑦,y</t>
  </si>
  <si>
    <t>Project emissions from the consumption of electricity to produce the additives used by the biomass processing facility (tCO2)</t>
  </si>
  <si>
    <t>𝑃𝐸bp,𝑎𝑑𝑑𝑖𝑡𝑖𝑣𝑒𝑠,𝐹𝐹,y</t>
  </si>
  <si>
    <t>Project emissions from the consumption of fossil fuels to produce the additives used by the biomass processing facility (tCO2)</t>
  </si>
  <si>
    <t>Parameter 𝑃𝐸fc,𝑗,𝑦  from Tool 03</t>
  </si>
  <si>
    <t>𝑃𝐸bp,additives,y</t>
  </si>
  <si>
    <t>Project emissions resulting from the use of additives to process the biomass in year y (tCO2e)</t>
  </si>
  <si>
    <t>As an alternative to the monitoring of the parameters needed to calculate 𝑃𝐸𝐵𝑃,𝑎𝑑𝑑𝑖𝑡𝑖𝑣𝑒𝑠,𝑦 and 𝑃𝐸𝐵𝑅𝑃,𝑎𝑑𝑑𝑖𝑡𝑖𝑣𝑒𝑠,𝑦, project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Project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Project proponents may determine these emission sources based on literature such as peer reviewed studies.</t>
  </si>
  <si>
    <t>𝐺𝑊𝑃ch4</t>
  </si>
  <si>
    <t>Global warming potential for methane valid for the relevant commitment period (tCO2/tCH4)</t>
  </si>
  <si>
    <t>Fixed Default</t>
  </si>
  <si>
    <t>𝑉bp,𝑤𝑤,y</t>
  </si>
  <si>
    <t>Quantity of wastewater generated from the processing of biomass in year y (m³)</t>
  </si>
  <si>
    <t>𝐶𝑂𝐷bp,𝑤𝑤,y</t>
  </si>
  <si>
    <t>Average chemical oxygen demand of the wastewater generated from the processing of biomass in year y (tCOD/m³)</t>
  </si>
  <si>
    <t>𝐵𝑜,ww</t>
  </si>
  <si>
    <t>Methane generation potential of the wastewater (t CH4/tCOD)</t>
  </si>
  <si>
    <t>𝑀𝐶𝐹bp,𝑤w</t>
  </si>
  <si>
    <t>Methane correction factor for the treatment of wastewater generated from the processing of biomass in year y (ratio)</t>
  </si>
  <si>
    <t>𝑃𝐸bp,ww,y</t>
  </si>
  <si>
    <t>Project emissions resulting from wastewater treatment due to thermochemical, biological and mechanical processing of the biomass in year y (tCO2e)</t>
  </si>
  <si>
    <t>𝑃𝐸bp,𝑒𝑙𝑒𝑐𝑡𝑟𝑖𝑐𝑖𝑡𝑦,y</t>
  </si>
  <si>
    <t>Project emissions resulting from the consumption of electricity due to thermo-chemical, biological and mechanical processing of the biomass in year y (tCO2e)</t>
  </si>
  <si>
    <t>𝑃𝐸bp,fuel,y</t>
  </si>
  <si>
    <t>Project emissions resulting from the consumption of fossil fuels for thermo-chemical, biological and mechanical processing of the biomass in year y (tCO2e)</t>
  </si>
  <si>
    <t>𝑃𝐸bp,𝐶𝐻4,y</t>
  </si>
  <si>
    <t>Project methane emissions resulting from the decay of biomass under anaerobic conditions as a result of thermo-chemical, biological and mechanical processing in year y (tCO2e)</t>
  </si>
  <si>
    <t>Parameter  𝑃𝐸ch4,swds,𝑦  from Tool 04</t>
  </si>
  <si>
    <t>𝑃𝐸bp,comp,y</t>
  </si>
  <si>
    <t>Project emissions resulting from composting due to thermo-chemical, biological and mechanical processing of the biomass in year y (tCO2e)</t>
  </si>
  <si>
    <t>Parameter 𝑃𝐸comp,y  from Tool 13</t>
  </si>
  <si>
    <t>𝑃𝐸bp,ad,y</t>
  </si>
  <si>
    <t>Project emissions resulting from the anaerobic digester due to thermochemical, biological and mechanical processing of the biomass in year y (tCO2e)</t>
  </si>
  <si>
    <t>Parameter 𝑃𝐸ad,𝑦   from Tool 14</t>
  </si>
  <si>
    <t>PEbp,y</t>
  </si>
  <si>
    <t>Project emissions resulting from processing of biomass in year y</t>
  </si>
  <si>
    <t>𝑃𝐸brp,𝑎𝑑𝑑𝑖𝑡𝑖𝑣𝑒𝑠,𝑡𝑟𝑎𝑛𝑠𝑝𝑜𝑟t</t>
  </si>
  <si>
    <t>Project emissions from the transportation of the additives from the production site to the biomass residues processing facility (tCO2)</t>
  </si>
  <si>
    <t>𝑃𝐸brp,𝑎𝑑𝑑𝑖𝑡𝑖𝑣𝑒𝑠,𝑒𝑙𝑒𝑐𝑡𝑟𝑖𝑐𝑖𝑡𝑦,y</t>
  </si>
  <si>
    <t>Project emissions from the consumption of electricity to produce the additives used by the biomass residues processing facility (tCO2)</t>
  </si>
  <si>
    <t>𝑃𝐸brp,𝑎𝑑𝑑𝑖𝑡𝑖𝑣𝑒𝑠,𝐹𝐹,y</t>
  </si>
  <si>
    <t>Project emissions from the consumption of fossil fuels to produce the additives used by the biomass residues processing facility (tCO2)</t>
  </si>
  <si>
    <t>𝑃𝐸brp,additives,y</t>
  </si>
  <si>
    <t>Project emissions resulting from the use of additives to process the biomass residues in year y (tCO2e)</t>
  </si>
  <si>
    <t>𝑉brp,𝑤𝑤,y</t>
  </si>
  <si>
    <t>Quantity of wastewater generated from the processing of biomass residues in year y (m³)</t>
  </si>
  <si>
    <t>𝐶𝑂𝐷brp,𝑤𝑤,y</t>
  </si>
  <si>
    <t>Average chemical oxygen demand of the wastewater generated from the processing of biomass residues in year y (tCOD/m³)</t>
  </si>
  <si>
    <t>𝑀𝐶𝐹brp,𝑤w</t>
  </si>
  <si>
    <t>Methane correction factor for the treatment of wastewater generated from the processing of biomass residues in year y (ratio)</t>
  </si>
  <si>
    <t>𝑃𝐸brp,ww,y</t>
  </si>
  <si>
    <t>Project emissions resulting from wastewater treatment due to thermochemical, biological and mechanical processing of the biomass residues in year y (tCO2e)</t>
  </si>
  <si>
    <t>𝑃𝐸brp,𝑒𝑙𝑒𝑐𝑡𝑟𝑖𝑐𝑖𝑡𝑦,y</t>
  </si>
  <si>
    <t>Project emissions resulting from the consumption of electricity due to thermo-chemical, biological and mechanical processing of the biomass residues in year y (tCO2e)</t>
  </si>
  <si>
    <t>𝑃𝐸brp,fuel,y</t>
  </si>
  <si>
    <t>Project emissions resulting from the consumption of fossil fuels for thermo-chemical, biological and mechanical processing of the biomass residues in year y (tCO2e)</t>
  </si>
  <si>
    <t>𝑃𝐸brp,𝐶𝐻4,y</t>
  </si>
  <si>
    <t>Project methane emissions resulting from the decay of biomass residues under anaerobic conditions as a result of thermo-chemical, biological and mechanical processing in year y (tCO2e)</t>
  </si>
  <si>
    <t>𝑃𝐸brp,comp,y</t>
  </si>
  <si>
    <t>Project emissions resulting from composting due to thermo-chemical, biological and mechanical processing of the biomass residues in year y (tCO2e)</t>
  </si>
  <si>
    <t>𝑃𝐸brp,ad,y</t>
  </si>
  <si>
    <t>Project emissions resulting from the anaerobic digester due to thermochemical, biological and mechanical processing of the biomass residues in year y (tCO2e)</t>
  </si>
  <si>
    <t>PEbrp,y</t>
  </si>
  <si>
    <t>Project emissions resulting from processing of biomass residues in year y</t>
  </si>
  <si>
    <t>LEbc,y</t>
  </si>
  <si>
    <t xml:space="preserve">Leakage due to shift of pre-project activities resulting from cultivation of biomass in a dedicated plantation in year y </t>
  </si>
  <si>
    <t>Percentage of families/households of the community involved in or affected by the project activity displaced (from within to outside of the project boundary) due to the project activity</t>
  </si>
  <si>
    <t>Percentage of total production of the main product (e.g. meat, corn) within the project boundary displaced due to the cultivation of biomass</t>
  </si>
  <si>
    <t xml:space="preserve">The BE and PE parameters can be found in the mainframe schema. </t>
  </si>
  <si>
    <t>LEbr,div,y</t>
  </si>
  <si>
    <t>Leakage due to diversion of biomass residues from other applications in year y</t>
  </si>
  <si>
    <t>𝐸𝐹co2,le</t>
  </si>
  <si>
    <t>CO2 emission factor of the most carbon intensive fossil fuel used in the country (t CO2/GJ)</t>
  </si>
  <si>
    <t>𝐵𝑅pj,𝑛,y</t>
  </si>
  <si>
    <t>Quantity of biomass residues of category n used in facilities which are located at the project site and included in the project boundary in year y (tonnes on dry-basis)</t>
  </si>
  <si>
    <t>The determination of BRpj,n,y shall be based on the monitored amounts of biomass residues used in facilities included in the project boundary.</t>
  </si>
  <si>
    <t>𝑁𝐶𝑉𝑛,y</t>
  </si>
  <si>
    <t>Net calorific value of the biomass residues of category n in year y (GJ/tonne of dry matter)</t>
  </si>
  <si>
    <t xml:space="preserve">The main potential source of leakage due to biomass residues is an increase in emissions from fossil fuel combustion or other sources due to diversion of biomass residues from other uses to the project plant as a result of the project activity. The alternative scenario for biomass residues for which this potential leakage is relevant is B4. 
The actual leakage emissions in each of these cases may differ significantly and depend on the specific situation of each project activity. For that reason, a simplified approach is used in this tool: it is assumed that an equivalent amount of fossil fuels, on energy basis, would be used if biomass residues are diverted from other users, no matter what the use of biomass residues would be in the alternative scenario.
Therefore, for the categories of biomass residues whose alternative scenario has been identified as B4. </t>
  </si>
  <si>
    <t>[Click to add category of biomass residues]</t>
  </si>
  <si>
    <t>Repeat equation 15 for each residue category.</t>
  </si>
  <si>
    <t>LEbrt,y</t>
  </si>
  <si>
    <t>Leakage due to the transportation of biomass residues outside of the project boundary in year y</t>
  </si>
  <si>
    <t>Parameter LEtr,m from Tool 12</t>
  </si>
  <si>
    <t>LEbrp,y</t>
  </si>
  <si>
    <t>Leakage due to processing of biomass residues outside the project boundary in year y</t>
  </si>
  <si>
    <t>LEbrp,𝑎𝑑𝑑𝑖𝑡𝑖𝑣𝑒𝑠,𝑡𝑟𝑎𝑛𝑠𝑝𝑜𝑟t</t>
  </si>
  <si>
    <t>Leakage emissions from the transportation of the additives from the production site to the biomass residues processing facility (tCO2)</t>
  </si>
  <si>
    <t>LEbrp,𝑎𝑑𝑑𝑖𝑡𝑖𝑣𝑒𝑠,𝑒𝑙𝑒𝑐𝑡𝑟𝑖𝑐𝑖𝑡𝑦,y</t>
  </si>
  <si>
    <t>Leakage emissions from the consumption of electricity to produce the additives used by the biomass residues processing facility (tCO2)</t>
  </si>
  <si>
    <t>LEbrp,𝑎𝑑𝑑𝑖𝑡𝑖𝑣𝑒𝑠,𝐹𝐹,y</t>
  </si>
  <si>
    <t>Leakage emissions from the consumption of fossil fuels to produce the additives used by the biomass residues processing facility (tCO2)</t>
  </si>
  <si>
    <t>LEbrp,additives,y</t>
  </si>
  <si>
    <t>Leakage emissions resulting from the use of additives to process the biomass residues in year y (tCO2e)</t>
  </si>
  <si>
    <t>As an alternative to the monitoring of the parameters needed to calculate LE𝐵𝑃,𝑎𝑑𝑑𝑖𝑡𝑖𝑣𝑒𝑠,𝑦 and LE𝐵𝑅𝑃,𝑎𝑑𝑑𝑖𝑡𝑖𝑣𝑒𝑠,𝑦, Leakage proponents may apply the following options: (a) If the ratio between the additive consumed and the biomass or biomass residue processed (mass or volume basis) is below or equal to 2%, these emission sources may be neglected; (b) If the ratio between the additive consumed and the biomass or biomass residue processed ( mass or volume basis) is above 2% and below or equal to 10%, only the emissions from the consumption of electricity and fuel to produce the additives may be accounted. Leakage proponents may determine these emission sources based on literature such as peer reviewed studies. (c) If the ratio between the additive consumed and the biomass or biomass residue processed (mass or volume basis) is above 10%, emissions from both the consumption of electricity and fuel to produce the additives and to transport the additives shall be accounted. Leakage proponents may determine these emission sources based on literature such as peer reviewed studies.</t>
  </si>
  <si>
    <t>LEbrp,ww,y</t>
  </si>
  <si>
    <t>Leakage emissions resulting from wastewater treatment due to thermochemical, biological and mechanical processing of the biomass residues in year y (tCO2e)</t>
  </si>
  <si>
    <t>L𝐸brp,𝑒𝑙𝑒𝑐𝑡𝑟𝑖𝑐𝑖𝑡𝑦,y</t>
  </si>
  <si>
    <t>Leakage emissions resulting from the consumption of electricity due to thermo-chemical, biological and mechanical processing of the biomass residues in year y (tCO2e)</t>
  </si>
  <si>
    <t>L𝐸brp,fuel,y</t>
  </si>
  <si>
    <t>Leakage emissions resulting from the consumption of fossil fuels for thermo-chemical, biological and mechanical processing of the biomass residues in year y (tCO2e)</t>
  </si>
  <si>
    <t>L𝐸brp,𝐶𝐻4,y</t>
  </si>
  <si>
    <t>Leakage methane emissions resulting from the decay of biomass residues under anaerobic conditions as a result of thermo-chemical, biological and mechanical processing in year y (tCO2e)</t>
  </si>
  <si>
    <t>L𝐸brp,comp,y</t>
  </si>
  <si>
    <t>Leakage emissions resulting from composting due to thermo-chemical, biological and mechanical processing of the biomass residues in year y (tCO2e)</t>
  </si>
  <si>
    <t>L𝐸brp,ad,y</t>
  </si>
  <si>
    <t>Leakage emissions resulting from the anaerobic digester due to thermochemical, biological and mechanical processing of the biomass residues in year y (tCO2e)</t>
  </si>
  <si>
    <t>Leakage emissions resulting from processing of biomass residues in year y</t>
  </si>
  <si>
    <t>[Click to add year]</t>
  </si>
  <si>
    <t xml:space="preserve">Add a new calculation/instance of this tool for each additional year. Sum the years to get the totals for project or leakage emissions (see summary tab). </t>
  </si>
  <si>
    <t>Project Emissions (PE) from Biomass</t>
  </si>
  <si>
    <t>Total for Year Y</t>
  </si>
  <si>
    <t>Leakage Emissions (LE) from Biomass</t>
  </si>
  <si>
    <t>Type of Emissions Estimates</t>
  </si>
  <si>
    <t>Included or Omitted</t>
  </si>
  <si>
    <t>Binary Yes/No</t>
  </si>
  <si>
    <t xml:space="preserve">Applicability </t>
  </si>
  <si>
    <t>Length of the first crediting period of the project in years</t>
  </si>
  <si>
    <t>Level of the management activities on cropland</t>
  </si>
  <si>
    <t>Temperature regime of the cropland</t>
  </si>
  <si>
    <t>Moisture regime of the cropland</t>
  </si>
  <si>
    <t>Soil amendment agent type</t>
  </si>
  <si>
    <t xml:space="preserve">Project Scale </t>
  </si>
  <si>
    <t>Alternative scenario of the biomass residues</t>
  </si>
  <si>
    <t xml:space="preserve">Applicable </t>
  </si>
  <si>
    <t>Long-term cultivated</t>
  </si>
  <si>
    <t>Cool temperate</t>
  </si>
  <si>
    <t>Dry</t>
  </si>
  <si>
    <t>Limestone</t>
  </si>
  <si>
    <t>Large</t>
  </si>
  <si>
    <t>B1: The biomass residues are dumped or left to decay mainly under aerobic conditions. This applies, for example, to dumping and decay of biomass residues on fields.</t>
  </si>
  <si>
    <t>Leakage Emissions (LE)</t>
  </si>
  <si>
    <t xml:space="preserve">Not Applicable </t>
  </si>
  <si>
    <t>Set aside (&lt; 20 yrs)</t>
  </si>
  <si>
    <t>Warm temperate</t>
  </si>
  <si>
    <t>Moist</t>
  </si>
  <si>
    <t>Dolomite</t>
  </si>
  <si>
    <t xml:space="preserve">B2: The biomass residues are dumped or left to decay under clearly anaerobic conditions. This applies, for example, to landfills which are deeper than five meters. This does not apply to biomass residues that are stock-piled or left to decay on fields. </t>
  </si>
  <si>
    <t>Full tillage</t>
  </si>
  <si>
    <t>Temperate</t>
  </si>
  <si>
    <t>Moist/Wet</t>
  </si>
  <si>
    <t xml:space="preserve">B3: The biomass residues are burnt in an uncontrolled manner without utilizing it for energy purposes. </t>
  </si>
  <si>
    <t>Reduced tillage</t>
  </si>
  <si>
    <t>Boreal</t>
  </si>
  <si>
    <t>Wet</t>
  </si>
  <si>
    <t>NA</t>
  </si>
  <si>
    <t>No-tillage</t>
  </si>
  <si>
    <t>Tropical</t>
  </si>
  <si>
    <t>Tropical montane</t>
  </si>
  <si>
    <t xml:space="preserve">Tool 03: Tool to calculate project or leakage CO2 emissions from fossil fuel combustion </t>
  </si>
  <si>
    <r>
      <t>PE</t>
    </r>
    <r>
      <rPr>
        <vertAlign val="subscript"/>
        <sz val="18"/>
        <color theme="1"/>
        <rFont val="Calibri"/>
        <family val="2"/>
        <scheme val="minor"/>
      </rPr>
      <t xml:space="preserve">FC,j,y </t>
    </r>
  </si>
  <si>
    <t>Total CO2 emissions from fossil fuel combustion in process j during the year y (tCO2/yr) (From all Cases)</t>
  </si>
  <si>
    <t>Sum of emissions from all cases added.</t>
  </si>
  <si>
    <t>Case 1: Questionnaire to determine calculation method 
[Click to add project or leakage CO2 emissions from fossil fuel combustion based on fuel type]</t>
  </si>
  <si>
    <t>𝑖</t>
  </si>
  <si>
    <t>What fuel types are combusted in the project activity process?</t>
  </si>
  <si>
    <t>Natural gas</t>
  </si>
  <si>
    <t>Specify which combustion process this tool is being applied to</t>
  </si>
  <si>
    <t>Anaerobic digester</t>
  </si>
  <si>
    <t>If/then</t>
  </si>
  <si>
    <t xml:space="preserve">What approach would you like to use to calculate the CO2 emission coefficient? </t>
  </si>
  <si>
    <t>Option A</t>
  </si>
  <si>
    <r>
      <rPr>
        <b/>
        <u/>
        <sz val="11"/>
        <color rgb="FF000000"/>
        <rFont val="Calibri"/>
        <family val="2"/>
        <scheme val="minor"/>
      </rPr>
      <t>Option A:</t>
    </r>
    <r>
      <rPr>
        <sz val="11"/>
        <color rgb="FF000000"/>
        <rFont val="Calibri"/>
        <family val="2"/>
        <scheme val="minor"/>
      </rPr>
      <t xml:space="preserve"> The CO2 emission coefficient is calculated based on the chemical composition of the fossil fuel type. (Option A should be the preferred approach, if the necessary data is available.)
</t>
    </r>
    <r>
      <rPr>
        <b/>
        <u/>
        <sz val="11"/>
        <color rgb="FF000000"/>
        <rFont val="Calibri"/>
        <family val="2"/>
        <scheme val="minor"/>
      </rPr>
      <t>Option B:</t>
    </r>
    <r>
      <rPr>
        <sz val="11"/>
        <color rgb="FF000000"/>
        <rFont val="Calibri"/>
        <family val="2"/>
        <scheme val="minor"/>
      </rPr>
      <t xml:space="preserve"> The CO2 emission coefficient is calculated based on net calorific value and CO2 emission factor of the fuel type. 
</t>
    </r>
  </si>
  <si>
    <t>Is the fuel used measused in a mass or volume unit?</t>
  </si>
  <si>
    <t>Mass</t>
  </si>
  <si>
    <t>Mass or Volume (if Mass is selected then cell F13 should be used, if Volume is selected then cell F14 should be used. Note: Only relavent if Option A is seleted)</t>
  </si>
  <si>
    <t>Emissions</t>
  </si>
  <si>
    <t>CO2 emissions from fossil fuel combustion in process j during the year y (tCO2/yr)</t>
  </si>
  <si>
    <r>
      <t>FC</t>
    </r>
    <r>
      <rPr>
        <vertAlign val="subscript"/>
        <sz val="18"/>
        <color theme="1"/>
        <rFont val="Calibri"/>
        <family val="2"/>
        <scheme val="minor"/>
      </rPr>
      <t>i,j,y</t>
    </r>
  </si>
  <si>
    <t>Quantity of fuel type i combusted in process j during the year y (mass or volume unit/yr)</t>
  </si>
  <si>
    <r>
      <t>COEF</t>
    </r>
    <r>
      <rPr>
        <vertAlign val="subscript"/>
        <sz val="18"/>
        <color theme="1"/>
        <rFont val="Calibri"/>
        <family val="2"/>
        <scheme val="minor"/>
      </rPr>
      <t>i,y</t>
    </r>
  </si>
  <si>
    <t>CO2 emission coefficient of fuel type i in year y (tCO2/mass or volume unit)</t>
  </si>
  <si>
    <t xml:space="preserve">This value will come from cell G14, G15, or G19 depending on the responses from the questionnaire </t>
  </si>
  <si>
    <r>
      <t>The CO2 emission coefficient COEFi,</t>
    </r>
    <r>
      <rPr>
        <i/>
        <sz val="16"/>
        <color rgb="FF000000"/>
        <rFont val="Calibri"/>
        <family val="2"/>
        <scheme val="minor"/>
      </rPr>
      <t xml:space="preserve">y </t>
    </r>
    <r>
      <rPr>
        <b/>
        <sz val="16"/>
        <color rgb="FF000000"/>
        <rFont val="Calibri"/>
        <family val="2"/>
        <scheme val="minor"/>
      </rPr>
      <t>Option A</t>
    </r>
  </si>
  <si>
    <t>CO2 emission coefficient of fuel type i in year y (tCO2/Mass Unit)</t>
  </si>
  <si>
    <t>If Mass Unit</t>
  </si>
  <si>
    <t>CO2 emission coefficient of fuel type i in year y (tCO2/Volume Unit)</t>
  </si>
  <si>
    <t>If Volume Unit</t>
  </si>
  <si>
    <r>
      <t>w</t>
    </r>
    <r>
      <rPr>
        <vertAlign val="subscript"/>
        <sz val="18"/>
        <color theme="1"/>
        <rFont val="Calibri"/>
        <family val="2"/>
        <scheme val="minor"/>
      </rPr>
      <t>c,i,y</t>
    </r>
  </si>
  <si>
    <t>Weighted average mass fraction of carbon in fuel type i in year y (tC/mass unit of the fuel)</t>
  </si>
  <si>
    <r>
      <t>P</t>
    </r>
    <r>
      <rPr>
        <vertAlign val="subscript"/>
        <sz val="18"/>
        <color theme="1"/>
        <rFont val="Calibri"/>
        <family val="2"/>
        <scheme val="minor"/>
      </rPr>
      <t>i,y</t>
    </r>
  </si>
  <si>
    <t>Weighted average density of fuel type i in year y (mass unit/volume unit of the fuel)</t>
  </si>
  <si>
    <t>The CO2 emission coefficient COEFi,y Option B</t>
  </si>
  <si>
    <r>
      <t>NCV</t>
    </r>
    <r>
      <rPr>
        <vertAlign val="subscript"/>
        <sz val="18"/>
        <color theme="1"/>
        <rFont val="Calibri"/>
        <family val="2"/>
        <scheme val="minor"/>
      </rPr>
      <t>i,y</t>
    </r>
  </si>
  <si>
    <t>Weighted average net calorific value of the fuel type i in year y (GJ/mass or volume unit)</t>
  </si>
  <si>
    <r>
      <t>EF</t>
    </r>
    <r>
      <rPr>
        <vertAlign val="subscript"/>
        <sz val="18"/>
        <color theme="1"/>
        <rFont val="Calibri"/>
        <family val="2"/>
        <scheme val="minor"/>
      </rPr>
      <t>CO2,y,y</t>
    </r>
  </si>
  <si>
    <t>Weighted average CO2 emission factor of fuel type i in year y (tCO2/GJ)</t>
  </si>
  <si>
    <t>Case 2: Questionnaire to determine calculation method 
[Click to add project or leakage CO2 emissions from fossil fuel combustion based on fuel type]</t>
  </si>
  <si>
    <t>Option B</t>
  </si>
  <si>
    <t>Volume</t>
  </si>
  <si>
    <t xml:space="preserve">This value will come from cell G32, G33, or G37 depending on the responses from the questionnaire </t>
  </si>
  <si>
    <t xml:space="preserve">To which emission category is the tool being applied? </t>
  </si>
  <si>
    <t>Baseline Emissions (BE)</t>
  </si>
  <si>
    <t xml:space="preserve">Will the project be implementing Application A or Application B? </t>
  </si>
  <si>
    <t>Application B</t>
  </si>
  <si>
    <t xml:space="preserve">Application A: The CDM project activity mitigates methane emissions from a specific existing SWDS. Methane emissions are mitigated by capturing and flaring or combusting the methane (e.g. “ACM0001: Flaring or use of landfill gas”). The methane is generated from waste disposed in the past, including prior to the start of the CDM project activity. In these cases, the tool is only applied for an ex ante estimation of emissions in the project design document (CDM-PDD). The emissions will then be monitored during the crediting period using the applicable approaches in the relevant methodologies (e.g. measuring the amount of methane captured from the SWDS). 
Application B: The CDM project activity avoids or involves the disposal of waste at a SWDS. An example of this application of the tool is ACM0022, in which municipal solid waste (MSW) is treated with an alternative option, such as composting or anaerobic digestion, and is then prevented from being disposed of in a SWDS. The methane is generated from waste disposed or avoided from disposal during the crediting period. In these cases, the tool can be applied for both ex ante and ex post estimation of emissions. These project activities may apply the simplified approach detailed in 0 when calculating baseline emissions. </t>
  </si>
  <si>
    <t xml:space="preserve">Is methane captured (e.g. due to safety regulations) and flared, combusted or used in another manner that prevents emissions of methane to the atmosphere? </t>
  </si>
  <si>
    <t xml:space="preserve">Is the tool being applied to MSW? </t>
  </si>
  <si>
    <t xml:space="preserve">Is the tool being applied to residual waste? </t>
  </si>
  <si>
    <t>For the baseline model correction factor (parameter φy), will you use a default value (option 1) or a project specific value estimated yearly (option 2)?</t>
  </si>
  <si>
    <t>Option 1 (Default)</t>
  </si>
  <si>
    <t>Please indicate the climate conditions of the SWDS</t>
  </si>
  <si>
    <t>Humid/wet conditions</t>
  </si>
  <si>
    <t>Please indicate the climate type of the SWDS</t>
  </si>
  <si>
    <t xml:space="preserve">Is the solid waste weighed using accurate weighbridges or estimated, such as from the depth and surface area of
an existing SWDS? </t>
  </si>
  <si>
    <t>Estimated</t>
  </si>
  <si>
    <t>Is more than 50 percent of the waste rapidly degradable organic material?</t>
  </si>
  <si>
    <t xml:space="preserve">Is the SWDS is located in a tropical climate? </t>
  </si>
  <si>
    <t xml:space="preserve">Is the SWDS managed or unmanaged? </t>
  </si>
  <si>
    <t>Managed</t>
  </si>
  <si>
    <t xml:space="preserve">Is residual waste is disposed at the SWDS? </t>
  </si>
  <si>
    <t xml:space="preserve">Were the SWDS compartments where the project is implemented closed less than three years ago? </t>
  </si>
  <si>
    <t>For the fraction of DOC that decomposes in the SWDS (DOCf), will you use a default factor or measure a project specific value?</t>
  </si>
  <si>
    <t>Measure</t>
  </si>
  <si>
    <t xml:space="preserve">Does the SWDS have a water table above the bottom of the SWDS? </t>
  </si>
  <si>
    <t xml:space="preserve">Select the applicable SWDS condition </t>
  </si>
  <si>
    <t>Unmanaged solid waste disposal sites – deep</t>
  </si>
  <si>
    <t>For the methane correction factor (DOCj), will you use a default factor or measure/calculate a project specific value?</t>
  </si>
  <si>
    <t>Default</t>
  </si>
  <si>
    <t xml:space="preserve">For industrial sludge, either a value of 9 per cent (% wet sludge) may be used as a default, assuming an organic dry matter content of 35 percent, or alternatively, if the percentage of organic dry matter content is known, then the DOC value may be calculated as follows: DOCj (% wet sludge) = 9 * (% organic dry matter content/35); 
For domestic sludge, either a value of 5 per cent (% wet sludge) may be used as a default, assuming an organic dry matter content of 10 per cent, or alternatively, if the percentage of organic dry matter content is known, then the DOC value may be calculated as follows: DOCj (% wet sludge) = 5 * (% organic dry matter content/10). 
If a waste type is not comparable to </t>
  </si>
  <si>
    <t>Select the applicable waste type (j)</t>
  </si>
  <si>
    <t>Pulp, paper and cardboard (other than sludge)</t>
  </si>
  <si>
    <t>If waste type (j) = "other", please specify</t>
  </si>
  <si>
    <t xml:space="preserve">Does the SWDS have only one type of waste disposed (for example, in the case of a residual waste)? </t>
  </si>
  <si>
    <t>Determining the baseline model correction factor (φy)</t>
  </si>
  <si>
    <t>Option 1: Default</t>
  </si>
  <si>
    <t>φdefault; Model correction factor to account for model uncertainties for year y</t>
  </si>
  <si>
    <t>Option 2: Uncertainty Analysis</t>
  </si>
  <si>
    <t>a (W)</t>
  </si>
  <si>
    <t>b (DOCj)</t>
  </si>
  <si>
    <t>c (DOCf)</t>
  </si>
  <si>
    <t>d (F)</t>
  </si>
  <si>
    <t>e (MCFy)</t>
  </si>
  <si>
    <r>
      <t>g [e</t>
    </r>
    <r>
      <rPr>
        <vertAlign val="superscript"/>
        <sz val="11"/>
        <color theme="1"/>
        <rFont val="Calibri"/>
        <family val="2"/>
        <scheme val="minor"/>
      </rPr>
      <t>−𝑘𝑗×(𝑦−𝑥)</t>
    </r>
    <r>
      <rPr>
        <sz val="12"/>
        <color theme="1"/>
        <rFont val="Calibri"/>
        <family val="2"/>
        <scheme val="minor"/>
      </rPr>
      <t xml:space="preserve"> × (1 − e</t>
    </r>
    <r>
      <rPr>
        <vertAlign val="superscript"/>
        <sz val="11"/>
        <color theme="1"/>
        <rFont val="Calibri"/>
        <family val="2"/>
        <scheme val="minor"/>
      </rPr>
      <t>−𝑘𝑗</t>
    </r>
    <r>
      <rPr>
        <sz val="12"/>
        <color theme="1"/>
        <rFont val="Calibri"/>
        <family val="2"/>
        <scheme val="minor"/>
      </rPr>
      <t>)]</t>
    </r>
  </si>
  <si>
    <t>Vy</t>
  </si>
  <si>
    <t>Overall uncertainty of the determination of methane generation in year y</t>
  </si>
  <si>
    <t>𝜑y</t>
  </si>
  <si>
    <t>Model correction factor to account for model uncertainties for year y</t>
  </si>
  <si>
    <t>Determining the amounts of waste types j disposed in the SWDS (Wj,x or Wj,i)</t>
  </si>
  <si>
    <t>Application A</t>
  </si>
  <si>
    <t xml:space="preserve">Wj,x </t>
  </si>
  <si>
    <t xml:space="preserve">Wj,x or Wj,i calculated based on information from the SWDS owner and administration and from interviews with senior employees. </t>
  </si>
  <si>
    <t>Pn,j,x</t>
  </si>
  <si>
    <t>Fraction of the waste type j in the sample n collected during the year x (weight fraction)</t>
  </si>
  <si>
    <t xml:space="preserve">[Click to add sample] </t>
  </si>
  <si>
    <t>Zx</t>
  </si>
  <si>
    <t>Number of samples collected during the year x</t>
  </si>
  <si>
    <t>𝑊x</t>
  </si>
  <si>
    <t>Total amount of solid waste disposed or prevented from disposal in the SWDS in year x (t)</t>
  </si>
  <si>
    <t>P𝑗,x</t>
  </si>
  <si>
    <t>Average fraction of the waste type j in the waste in year x (weight fraction)</t>
  </si>
  <si>
    <t>𝑊𝑗,𝑥</t>
  </si>
  <si>
    <t>Amount of solid waste type j disposed or prevented from disposal in the SWDS in the year x (t)</t>
  </si>
  <si>
    <t>Determining the fraction of DOC that decomposes in the SWDS (DOCf,y)</t>
  </si>
  <si>
    <t>DOCf,default</t>
  </si>
  <si>
    <t xml:space="preserve">Fraction of degradable organic carbon (DOC) that decomposes under the specific conditions occurring in the SWDS for year y (weight fraction) </t>
  </si>
  <si>
    <t>Measurement (MSW)</t>
  </si>
  <si>
    <t>BMPmsw</t>
  </si>
  <si>
    <t>Biochemical methane potential for the MSW disposed or prevented from disposal (t CH4/t waste)</t>
  </si>
  <si>
    <t>F</t>
  </si>
  <si>
    <t>Fraction of methane in the SWDS gas (volume fraction)</t>
  </si>
  <si>
    <t>Pj,y</t>
  </si>
  <si>
    <t>Average fraction of the waste type j in the waste in year y (weight fraction)</t>
  </si>
  <si>
    <t>DOC,j</t>
  </si>
  <si>
    <t>Fraction of degradable organic carbon in the waste type j (weight fraction)</t>
  </si>
  <si>
    <t>𝐷𝑂𝐶𝑓,y</t>
  </si>
  <si>
    <t>Measurement (Residual Waste)</t>
  </si>
  <si>
    <t>BMPj</t>
  </si>
  <si>
    <t>Biochemical methane potential for the residual waste type j disposed or prevented from disposal (t CH4/t waste)</t>
  </si>
  <si>
    <t>Determining the methane correction factor (MCFy)</t>
  </si>
  <si>
    <t>MCFdefault</t>
  </si>
  <si>
    <t>Methane correction factor for year y</t>
  </si>
  <si>
    <t>Calculated</t>
  </si>
  <si>
    <t>ℎ𝑤,y</t>
  </si>
  <si>
    <t>Height of water table Measure from the base of the SWDS (m)</t>
  </si>
  <si>
    <t>dy</t>
  </si>
  <si>
    <t>Depth of SWDS (m)</t>
  </si>
  <si>
    <t>𝑀𝐶𝐹y</t>
  </si>
  <si>
    <t>Determining the methane correction factor (DOCj)</t>
  </si>
  <si>
    <t>𝐷𝑂𝐶𝑗,default</t>
  </si>
  <si>
    <t>Measurement/Calculate</t>
  </si>
  <si>
    <t>𝐷𝑂𝐶𝑗</t>
  </si>
  <si>
    <t>Baseline (BE), Project (PE), or Leakage (LE) Methane Emissions from SWDS</t>
  </si>
  <si>
    <t>X</t>
  </si>
  <si>
    <t>Years in the time period in which waste is disposed at the SWDS, extending from the first year in the time period (x = 1) to year y (x = y)</t>
  </si>
  <si>
    <t>y</t>
  </si>
  <si>
    <t>Year of the crediting period for which methane emissions are calculated (y is a consecutive period of 12 months)</t>
  </si>
  <si>
    <t>𝑊𝑗,x</t>
  </si>
  <si>
    <t>𝑓,y</t>
  </si>
  <si>
    <t>Fraction of methane captured at the SWDS and flared, combusted or used in another manner that prevents the emissions of methane to the atmosphere in year y</t>
  </si>
  <si>
    <t>𝐺𝑊𝑃𝐶𝐻4</t>
  </si>
  <si>
    <t>Global Warming Potential of methane</t>
  </si>
  <si>
    <t>𝑂X</t>
  </si>
  <si>
    <t>Oxidation factor (reflecting the amount of methane from SWDS that is oxidized in the soil or other material covering the waste)</t>
  </si>
  <si>
    <t>𝑀𝐶𝐹𝑦</t>
  </si>
  <si>
    <t>Decay rate for the waste type j (1 / yr)</t>
  </si>
  <si>
    <t>If a waste type disposed in a SWDS cannot clearly be attributed to one
of the waste types in table 7, project participants should
choose, among the waste types that have similar characteristics, the
waste type where the values of DOCj and kj result in a conservative
estimate (lowest emissions), or request a revision of/deviation from this
methodology.</t>
  </si>
  <si>
    <t xml:space="preserve">Type of residual waste or types of waste in the MSW </t>
  </si>
  <si>
    <t>[𝐵𝐸,PE,LE] 𝐶𝐻4,𝑆𝑊𝐷𝑆,y</t>
  </si>
  <si>
    <t>[Baseline, Project, or Leakage] Methane emissions occurring in year y generated from waste disposal at a SWDS during a time period ending in year y (t CO2e/yr)</t>
  </si>
  <si>
    <t>[Click to add SWDS emission calculation]</t>
  </si>
  <si>
    <t xml:space="preserve">Add a new calculation/instance of this tool for the baseline, project, and leakage emissions. For each of the above, add another instance for each waste type (j), and year (y). Sum the waste types and years to get the totals for baseline, project, and leakage emissions (see summary tab). </t>
  </si>
  <si>
    <t>CH4,SWDS,y,j</t>
  </si>
  <si>
    <t>Total</t>
  </si>
  <si>
    <t>Emissions Category</t>
  </si>
  <si>
    <t>Application</t>
  </si>
  <si>
    <t>Calculation Frequency</t>
  </si>
  <si>
    <t>Binary</t>
  </si>
  <si>
    <t>Model correction factor (φy)</t>
  </si>
  <si>
    <t>Methane correction factor (DOCj)</t>
  </si>
  <si>
    <t>Climate Conditions</t>
  </si>
  <si>
    <t>Climate Type</t>
  </si>
  <si>
    <t>Waste Types (j)</t>
  </si>
  <si>
    <t xml:space="preserve">Yearly </t>
  </si>
  <si>
    <t>Boreal and Temperate</t>
  </si>
  <si>
    <t>Wood and wood products</t>
  </si>
  <si>
    <t>Weighed</t>
  </si>
  <si>
    <t>Anaerobic managed solid waste disposal sites</t>
  </si>
  <si>
    <t>Monthly</t>
  </si>
  <si>
    <t>Option 2 (Estimated)</t>
  </si>
  <si>
    <t>Dry conditions</t>
  </si>
  <si>
    <t>Unmanaged</t>
  </si>
  <si>
    <t>Semi-aerobic managed solid waste disposal sites</t>
  </si>
  <si>
    <t>Food, food waste, beverages and tobacco (other than sludge)</t>
  </si>
  <si>
    <t>Textiles</t>
  </si>
  <si>
    <t>Unmanaged-shallow solid waste disposal sites or stockpiles that are considered SWDS</t>
  </si>
  <si>
    <t>Garden, yard and park waste</t>
  </si>
  <si>
    <t>Glass, plastic, metal, other inert waste</t>
  </si>
  <si>
    <t>Empty fruit brunches (EFB)</t>
  </si>
  <si>
    <t>Industrial sludge</t>
  </si>
  <si>
    <t>Domestic sludge</t>
  </si>
  <si>
    <t>Other</t>
  </si>
  <si>
    <t xml:space="preserve">Question </t>
  </si>
  <si>
    <t xml:space="preserve">Answer </t>
  </si>
  <si>
    <t xml:space="preserve">Multiple Answers </t>
  </si>
  <si>
    <t xml:space="preserve">Is transportation the main project activity? </t>
  </si>
  <si>
    <t xml:space="preserve">Is the tool being used to calculate project emissions (PEtr,m) or leakage emissions (LEtr,m)? </t>
  </si>
  <si>
    <t>Project emissions (PEtr,m)</t>
  </si>
  <si>
    <t>f</t>
  </si>
  <si>
    <t xml:space="preserve">Which freight transportation activities (f) will occur under the project activity? </t>
  </si>
  <si>
    <t>Activity 1</t>
  </si>
  <si>
    <t>Click to add transportation activity (f)</t>
  </si>
  <si>
    <r>
      <t xml:space="preserve">All fields below must be completed for </t>
    </r>
    <r>
      <rPr>
        <u/>
        <sz val="11"/>
        <color theme="1"/>
        <rFont val="Calibri"/>
        <family val="2"/>
        <scheme val="minor"/>
      </rPr>
      <t>each</t>
    </r>
    <r>
      <rPr>
        <sz val="12"/>
        <color theme="1"/>
        <rFont val="Calibri"/>
        <family val="2"/>
        <scheme val="minor"/>
      </rPr>
      <t xml:space="preserve"> transportation activity </t>
    </r>
  </si>
  <si>
    <t>For each freight transportation activities (f), the origin of the freight (to the extent that this is known at validation)</t>
  </si>
  <si>
    <t>Source 1</t>
  </si>
  <si>
    <t>For each freight transportation activities (f), the destination of the freight (to the extent that this is known at validation)</t>
  </si>
  <si>
    <t>Facility 1</t>
  </si>
  <si>
    <t>For each freight transportation activities (f), the type(s) of freight that are planned to be transported</t>
  </si>
  <si>
    <t>Sugar cane bagasse</t>
  </si>
  <si>
    <t xml:space="preserve">For each freight transportation activities (f), the planned number of trips made </t>
  </si>
  <si>
    <t>FRf,m</t>
  </si>
  <si>
    <t>For each freight transportation activities (f), the planned quantity of freight that should be transported (t)</t>
  </si>
  <si>
    <t xml:space="preserve">Total mass of freight transported in freight transportation activity f in monitoring period m (t) </t>
  </si>
  <si>
    <t xml:space="preserve">For each freight transportation activities (f),which option will be used to determine project or leakage emissions from road transportation of freight? </t>
  </si>
  <si>
    <t>Option A: Monitoring fuel consumption</t>
  </si>
  <si>
    <t>For each freight transportation activities (f), select the mode of transportation</t>
  </si>
  <si>
    <t>Road Vehicle</t>
  </si>
  <si>
    <t>For each freight transportation activities (f), select the vehicle class</t>
  </si>
  <si>
    <t>Heavy</t>
  </si>
  <si>
    <t xml:space="preserve">Please detail and document how data on fuel consumption is collected and checked. </t>
  </si>
  <si>
    <t xml:space="preserve">The monitoring plan shall document how data on fuel consumption is collected and checked. </t>
  </si>
  <si>
    <t>[PE, LE] tr,m</t>
  </si>
  <si>
    <t>[Project or Leakage] emissions from transportation of freight in monitoring
period m</t>
  </si>
  <si>
    <t xml:space="preserve">Element process j corresponds to the combustion of fuels in the vehicles. If biofuels are used, then the corresponding CO2 emission factor of the fossil fuels that would most likely be used in the absence of the use of biofuels should be used. If biofuel blends are consumed, then the CO2 emission factor of the fossil fuel used in the blend shall be used, as a conservative simplification. The monitored fuel consumption shall include fuel consumed by the vehicles on both outbound and return trips, even if the vehicles also transport freight not associated with the project activity. </t>
  </si>
  <si>
    <t>Option B: Using conservative default values</t>
  </si>
  <si>
    <t>Df,m</t>
  </si>
  <si>
    <t>Road (or rail line) distance between the origin and the destination (km)</t>
  </si>
  <si>
    <t xml:space="preserve">Return trip distance between the origin and destination of freight transportation activity f in monitoring period m (km) </t>
  </si>
  <si>
    <t>EFco2,f</t>
  </si>
  <si>
    <t>Default CO2 emission factor for freight transportation activity f
(g CO2/t km)</t>
  </si>
  <si>
    <t xml:space="preserve">Auto-calculation </t>
  </si>
  <si>
    <t>[Project or Leakage] Emissions from transportation of freight in monitoring
period m</t>
  </si>
  <si>
    <t>Project Emissions Monitoring Summary Table</t>
  </si>
  <si>
    <t>Activity (f)</t>
  </si>
  <si>
    <t>Freight Type</t>
  </si>
  <si>
    <t>Weight (t)</t>
  </si>
  <si>
    <t>Origin</t>
  </si>
  <si>
    <t>Destination</t>
  </si>
  <si>
    <t>Road Distance (km)</t>
  </si>
  <si>
    <t>Transportation Mode</t>
  </si>
  <si>
    <t>Vehicle Class</t>
  </si>
  <si>
    <t>PEtr,m</t>
  </si>
  <si>
    <t>Leakage Emissions Monitoring Summary Table</t>
  </si>
  <si>
    <t>Options</t>
  </si>
  <si>
    <t>Mode of Transportation</t>
  </si>
  <si>
    <t>Rail</t>
  </si>
  <si>
    <t xml:space="preserve">Light </t>
  </si>
  <si>
    <t>Leakage emissions (LEtr,m)</t>
  </si>
  <si>
    <t>Project emissions from composting</t>
  </si>
  <si>
    <t>PECOMP,y</t>
  </si>
  <si>
    <t>Project emissions associated with composting in year y (t CO2e/yr)</t>
  </si>
  <si>
    <t>Determination of the quantity of waste composted (Qy)</t>
  </si>
  <si>
    <t>There are two options to determine the quantity of waste composted in year y. Select one: 
Option 1: Procedure using a weighing device
Option 2: Procedure without using a weighing device</t>
  </si>
  <si>
    <t>Determination of the quantity of waste composted (Qy) Option 1</t>
  </si>
  <si>
    <t>Qy</t>
  </si>
  <si>
    <t>Quantity of waste composted in year y (t / yr)</t>
  </si>
  <si>
    <t>Determination of the quantity of waste composted (Qy) Option 2</t>
  </si>
  <si>
    <t>[Click to add waste deliveries in trucks to the composting installation]</t>
  </si>
  <si>
    <t>CT,t,y</t>
  </si>
  <si>
    <t>Carrying capacity of truck t used in year y to deliver waste to the composting installation</t>
  </si>
  <si>
    <t>Determination of project emissions from electricity consumption (PEEC,y)</t>
  </si>
  <si>
    <t>Where the composting activity involves electricity consumption from the grid or from a fossil fuel fired on-site power plant, PEEC,y shall be calculated using the latest approved version of the methodological tool “Baseline, project and/or leakage emissions from electricity consumption and monitoring of electricity generation”. Do you have monitored data for electricity consumption?</t>
  </si>
  <si>
    <t>PEECy</t>
  </si>
  <si>
    <t>Project emissions from electricity consumption associated with composting in year y (t CO2/yr)</t>
  </si>
  <si>
    <t>Determination of project emissions from fossil fuel consumption (PEFC,y)</t>
  </si>
  <si>
    <t>There are two options to determine project emissions from fossil fuel consumption. Select one: 
Option 1: Procedure using monitored data
Option 2: Procedure using a default value</t>
  </si>
  <si>
    <t>Determination of project emissions from fossil fuel consumption (PEFC,y) Option 1</t>
  </si>
  <si>
    <t>PEFC,y</t>
  </si>
  <si>
    <t>Project emissions from fossil fuel consumption associated with composting in year y (t CO2 / yr)</t>
  </si>
  <si>
    <t>Determination of project emissions from fossil fuel consumption (PEFC,y) Option 2</t>
  </si>
  <si>
    <t>Quantity of waste composted in year y (t/yr)</t>
  </si>
  <si>
    <t>EFFC,default</t>
  </si>
  <si>
    <t>Default emission factor for fossil fuels consumed by the composting activity per tonne of waste (t CO2/t)</t>
  </si>
  <si>
    <t>Determination of project emissions of methane (PECH4,y)</t>
  </si>
  <si>
    <t>There are two options to determine tproject emissions of methane. Select one: 
Option 1: Procedure using monitored data
Option 2: Procedure using a default value</t>
  </si>
  <si>
    <t>PECH4,y</t>
  </si>
  <si>
    <t>Project emissions of methane from the composting process in year y (t CO2e / yr)</t>
  </si>
  <si>
    <t>EFCH4,y</t>
  </si>
  <si>
    <t>Emission factor of methane per tonne of waste composted valid for year y (t CH4/t)</t>
  </si>
  <si>
    <t>Determination of project emissions of methane (PECH4,y) Option 1</t>
  </si>
  <si>
    <t>x</t>
  </si>
  <si>
    <t>Number of composting cycles c for which emissions were measured in year y (at least three)</t>
  </si>
  <si>
    <t>[Click to add composting cycles for which measurements were undertaken]</t>
  </si>
  <si>
    <t xml:space="preserve">c </t>
  </si>
  <si>
    <t>Composting cycle for which measurements were undertaken</t>
  </si>
  <si>
    <t>Cycle 1</t>
  </si>
  <si>
    <t>ECCCH4,c</t>
  </si>
  <si>
    <t>Methane emissions from composting during the composting cycle c (t CH4)</t>
  </si>
  <si>
    <t>ECCN2O,c</t>
  </si>
  <si>
    <t>Nitrous oxide emissions from composting during the composting cycle c (t N2O)</t>
  </si>
  <si>
    <t>Qc</t>
  </si>
  <si>
    <t>Quantity of waste composted in composting cycle c (t)</t>
  </si>
  <si>
    <t>Cycle 2</t>
  </si>
  <si>
    <t>Determination of project emissions of nitrous oxide (PEN2O,y)</t>
  </si>
  <si>
    <t>There are two options to determine project emissions of nitrous oxide. Select one: 
Option 1: Procedure using monitored data
Option 2: Procedure using a default value</t>
  </si>
  <si>
    <t>Option 2</t>
  </si>
  <si>
    <t>PEN2O,y</t>
  </si>
  <si>
    <t>Project emissions of nitrous oxide from composting in year y (t CO2e/yr)</t>
  </si>
  <si>
    <t>EFN2O,y</t>
  </si>
  <si>
    <t>Emission factor of nitrous oxide per tonne of waste composted valid for year y (t N2O/t)</t>
  </si>
  <si>
    <t>GWPN2O</t>
  </si>
  <si>
    <t>Global Warming Potential of N2O (t CO2e/t N2O)</t>
  </si>
  <si>
    <t>Determination of project emissions from run-off wastewater (PERO,y)</t>
  </si>
  <si>
    <t>Is run-off wastewater collected and re-circulated to the composting process?</t>
  </si>
  <si>
    <t>Project emissions of methane from run-off wastewater (PERO,y) are calculated only for the case of co-composting. Moreover, if run-off wastewater is collected and re-circulated to the composting process, then PERO,y is assumed to be zero (for example, this is the case for tunnel co-composting technology). Otherwise, PERO,y is calculated based on the quantity and chemical oxygen demand (COD) of run-off wastewater as follows, select one:
Option 1: Procedure monitoring quantity and COD of the run-off wastewater (Monitored data only)
Option 2: Procedure monitoring quantity and COD of the wastewater cocomposted (Monitored data and default values)</t>
  </si>
  <si>
    <t>PERO,y</t>
  </si>
  <si>
    <t>Project emissions of methane from run-off wastewater associated with co-composting in year y (t CO2e / yr)</t>
  </si>
  <si>
    <t>QCOD,y</t>
  </si>
  <si>
    <t>Quantity of COD of the run-off wastewater from the co-composting installation in year y (t COD / yr)</t>
  </si>
  <si>
    <t>B0,ww</t>
  </si>
  <si>
    <t>Default methane producing capacity of the run-off wastewater (t CH4 / t COD)</t>
  </si>
  <si>
    <t>Select the wastewater treatment system where the run-off wastewater is treated</t>
  </si>
  <si>
    <t>Anaerobic shallow lagoon (depth less than 2 metres)</t>
  </si>
  <si>
    <t>MCFww,treatment</t>
  </si>
  <si>
    <t>Default methane correction factor for the wastewater treatment system where the run-off wastewater is treated</t>
  </si>
  <si>
    <t>Default model correction factor to account for model uncertainties of methane emissions from run-off wastewater</t>
  </si>
  <si>
    <t>GWPCH4</t>
  </si>
  <si>
    <t>Global Warming Potential of methane (t CO2e / t CH4)</t>
  </si>
  <si>
    <t>Determination of project emissions from run-off wastewater (PERO,y) Option 1</t>
  </si>
  <si>
    <t>QRO,y</t>
  </si>
  <si>
    <t>Volume of run-off wastewater from the co-composting installation in year y (m3 / yr)</t>
  </si>
  <si>
    <t>CODRO,y</t>
  </si>
  <si>
    <t>Average COD of the run-off wastewater from the co-composting installation valid for year y (t COD / m3 )</t>
  </si>
  <si>
    <t>Determination of project emissions from run-off wastewater (PERO,y) Option 2</t>
  </si>
  <si>
    <t>Qwastewater,y</t>
  </si>
  <si>
    <t>Volume of wastewater co-composted in year y (m3 / yr)</t>
  </si>
  <si>
    <t>CODwastewater,y</t>
  </si>
  <si>
    <t>Average COD of the wastewater co-composted valid for year y (t COD / m3 )</t>
  </si>
  <si>
    <t>DFCOD,RO</t>
  </si>
  <si>
    <t>Default factor for the ratio of the amount of COD in run-off wastewater and wastewater co-composted</t>
  </si>
  <si>
    <t>Leakage Emissions</t>
  </si>
  <si>
    <t>Is compost subjected to anaerobic storage or disposed of in a SWDS? 
If yes, reference section 6.2 in Tool 13 "Methodological tool for project and leakage emissions from composting".</t>
  </si>
  <si>
    <t>LECOMP,y</t>
  </si>
  <si>
    <t>Leakage based on Tool 04 "“Emissions from solid waste disposal sites"</t>
  </si>
  <si>
    <t>Table 2: IPCC default values for MCF</t>
  </si>
  <si>
    <t>Type of wastewater treatment and discharge pathway or system</t>
  </si>
  <si>
    <t>MCF value</t>
  </si>
  <si>
    <t>Discharge of wastewater to sea, river or lake</t>
  </si>
  <si>
    <t>Aerobic treatment, well managed</t>
  </si>
  <si>
    <t>Aerobic treatment, poorly managed or overloaded</t>
  </si>
  <si>
    <t>Anaerobic digester for sludge without methane recovery</t>
  </si>
  <si>
    <t>Anaerobic reactor without methane recovery</t>
  </si>
  <si>
    <t>Anaerobic deep lagoon (depth more than 2 metres)</t>
  </si>
  <si>
    <t>Septic system</t>
  </si>
  <si>
    <t xml:space="preserve">Tool 05: Baseline, project and/or leakage emissions from electricity consumption and monitoring of electricity generation </t>
  </si>
  <si>
    <t xml:space="preserve">
Tool 05 is only applicable to the following scenarios, please select the appropriate one for your project:
Scenario A: Electricity consumption from the grid
Scenario B: Electricity consumption from (an) off-grid fossil fuel fired captive power plant(s)
Scenario C: Electricity consumption from the grid and (a) fossil fuel fired captive power plant(s)</t>
  </si>
  <si>
    <t>B: Off-Grid Captive Power Plants</t>
  </si>
  <si>
    <r>
      <rPr>
        <b/>
        <sz val="12"/>
        <color rgb="FF000000"/>
        <rFont val="Calibri"/>
        <family val="2"/>
        <scheme val="minor"/>
      </rPr>
      <t xml:space="preserve">Scenario A: </t>
    </r>
    <r>
      <rPr>
        <sz val="12"/>
        <color rgb="FF000000"/>
        <rFont val="Calibri"/>
        <family val="2"/>
        <scheme val="minor"/>
      </rPr>
      <t xml:space="preserve">Electricity consumption from the grid. The electricity is purchased from the grid only, and either no captive power plant(s) is/are installed at the site of electricity consumption or, if any captive power plant exists on site, it is either not operating or it is not physically able to provide electricity to the electricity consumer. 
</t>
    </r>
    <r>
      <rPr>
        <b/>
        <sz val="12"/>
        <color rgb="FF000000"/>
        <rFont val="Calibri"/>
        <family val="2"/>
        <scheme val="minor"/>
      </rPr>
      <t xml:space="preserve">Scenario B: </t>
    </r>
    <r>
      <rPr>
        <sz val="12"/>
        <color rgb="FF000000"/>
        <rFont val="Calibri"/>
        <family val="2"/>
        <scheme val="minor"/>
      </rPr>
      <t xml:space="preserve">Electricity consumption from (an) off-grid fossil fuel fired captive power plant(s). One or more fossil fuel fired captive power plants are installed at the site of the electricity consumer and supply the consumer with electricity. The captive power plant(s) is/are not connected to the electricity grid. 
</t>
    </r>
    <r>
      <rPr>
        <b/>
        <sz val="12"/>
        <color rgb="FF000000"/>
        <rFont val="Calibri"/>
        <family val="2"/>
        <scheme val="minor"/>
      </rPr>
      <t>Scenario C:</t>
    </r>
    <r>
      <rPr>
        <sz val="12"/>
        <color rgb="FF000000"/>
        <rFont val="Calibri"/>
        <family val="2"/>
        <scheme val="minor"/>
      </rPr>
      <t xml:space="preserve"> Electricity consumption from the grid and (a) fossil fuel fired captive power plant(s). One or more fossil fuel fired captive power plants operate at the site of the electricity consumer. The captive power plant(s) can provide electricity to the electricity consumer. The captive power plant(s) is/are also connected to the electricity grid. Hence, the electricity consumer can be provided with electricity from the captive power plant(s) and the grid.</t>
    </r>
  </si>
  <si>
    <r>
      <t>PE</t>
    </r>
    <r>
      <rPr>
        <vertAlign val="subscript"/>
        <sz val="18"/>
        <color theme="1"/>
        <rFont val="Calibri"/>
        <family val="2"/>
        <scheme val="minor"/>
      </rPr>
      <t>EC,y</t>
    </r>
  </si>
  <si>
    <r>
      <t>EF</t>
    </r>
    <r>
      <rPr>
        <vertAlign val="subscript"/>
        <sz val="18"/>
        <color theme="1"/>
        <rFont val="Calibri"/>
        <family val="2"/>
        <scheme val="minor"/>
      </rPr>
      <t>EF,j,y</t>
    </r>
  </si>
  <si>
    <t>This value comes from EFEL,j/k/l,y. Depending on the scenario and options chosen.</t>
  </si>
  <si>
    <r>
      <t>EC</t>
    </r>
    <r>
      <rPr>
        <vertAlign val="subscript"/>
        <sz val="18"/>
        <color theme="1"/>
        <rFont val="Calibri"/>
        <family val="2"/>
        <scheme val="minor"/>
      </rPr>
      <t>PJ,j,y</t>
    </r>
  </si>
  <si>
    <r>
      <t>TDL</t>
    </r>
    <r>
      <rPr>
        <vertAlign val="subscript"/>
        <sz val="18"/>
        <color theme="1"/>
        <rFont val="Calibri"/>
        <family val="2"/>
        <scheme val="minor"/>
      </rPr>
      <t>j,y</t>
    </r>
  </si>
  <si>
    <r>
      <t>BE</t>
    </r>
    <r>
      <rPr>
        <vertAlign val="subscript"/>
        <sz val="18"/>
        <color theme="1"/>
        <rFont val="Calibri"/>
        <family val="2"/>
        <scheme val="minor"/>
      </rPr>
      <t>EC,y</t>
    </r>
  </si>
  <si>
    <r>
      <t>EF</t>
    </r>
    <r>
      <rPr>
        <vertAlign val="subscript"/>
        <sz val="18"/>
        <color theme="1"/>
        <rFont val="Calibri"/>
        <family val="2"/>
        <scheme val="minor"/>
      </rPr>
      <t>EF,k,y</t>
    </r>
  </si>
  <si>
    <r>
      <t>EC</t>
    </r>
    <r>
      <rPr>
        <vertAlign val="subscript"/>
        <sz val="18"/>
        <color theme="1"/>
        <rFont val="Calibri"/>
        <family val="2"/>
        <scheme val="minor"/>
      </rPr>
      <t>BL,k,y</t>
    </r>
  </si>
  <si>
    <r>
      <t>TDL</t>
    </r>
    <r>
      <rPr>
        <vertAlign val="subscript"/>
        <sz val="18"/>
        <color theme="1"/>
        <rFont val="Calibri"/>
        <family val="2"/>
        <scheme val="minor"/>
      </rPr>
      <t>k,y</t>
    </r>
  </si>
  <si>
    <r>
      <t>LE</t>
    </r>
    <r>
      <rPr>
        <vertAlign val="subscript"/>
        <sz val="18"/>
        <color theme="1"/>
        <rFont val="Calibri"/>
        <family val="2"/>
        <scheme val="minor"/>
      </rPr>
      <t>EC,y</t>
    </r>
  </si>
  <si>
    <r>
      <t>EF</t>
    </r>
    <r>
      <rPr>
        <vertAlign val="subscript"/>
        <sz val="18"/>
        <color theme="1"/>
        <rFont val="Calibri"/>
        <family val="2"/>
        <scheme val="minor"/>
      </rPr>
      <t>EF,l,y</t>
    </r>
  </si>
  <si>
    <r>
      <t>EC</t>
    </r>
    <r>
      <rPr>
        <vertAlign val="subscript"/>
        <sz val="18"/>
        <color theme="1"/>
        <rFont val="Calibri"/>
        <family val="2"/>
        <scheme val="minor"/>
      </rPr>
      <t>LE,l,y</t>
    </r>
  </si>
  <si>
    <r>
      <t>TDL</t>
    </r>
    <r>
      <rPr>
        <vertAlign val="subscript"/>
        <sz val="18"/>
        <color theme="1"/>
        <rFont val="Calibri"/>
        <family val="2"/>
        <scheme val="minor"/>
      </rPr>
      <t>l,y</t>
    </r>
  </si>
  <si>
    <t>Alternative approaches for project and/or leakage emissions (Only if chosen from Scenario B)</t>
  </si>
  <si>
    <r>
      <t>PE</t>
    </r>
    <r>
      <rPr>
        <vertAlign val="subscript"/>
        <sz val="18"/>
        <color theme="1"/>
        <rFont val="Calibri"/>
        <family val="2"/>
        <scheme val="minor"/>
      </rPr>
      <t>EC,j,y</t>
    </r>
  </si>
  <si>
    <r>
      <t>LE</t>
    </r>
    <r>
      <rPr>
        <vertAlign val="subscript"/>
        <sz val="18"/>
        <color theme="1"/>
        <rFont val="Calibri"/>
        <family val="2"/>
        <scheme val="minor"/>
      </rPr>
      <t>EC,j,y</t>
    </r>
  </si>
  <si>
    <r>
      <t>PP</t>
    </r>
    <r>
      <rPr>
        <vertAlign val="subscript"/>
        <sz val="18"/>
        <color theme="1"/>
        <rFont val="Calibri"/>
        <family val="2"/>
        <scheme val="minor"/>
      </rPr>
      <t>CP,j</t>
    </r>
  </si>
  <si>
    <t>Rated capacity of the captive power plant(s) that provide the project electricity consumption source(s) j with electricity (MW)</t>
  </si>
  <si>
    <t xml:space="preserve">Project electricity consumption sources that are supplied with power from captive power plant(s) installed at one site </t>
  </si>
  <si>
    <r>
      <t>PP</t>
    </r>
    <r>
      <rPr>
        <vertAlign val="subscript"/>
        <sz val="18"/>
        <color theme="1"/>
        <rFont val="Calibri"/>
        <family val="2"/>
        <scheme val="minor"/>
      </rPr>
      <t>CP,l</t>
    </r>
  </si>
  <si>
    <t>Rated capacity of the captive power plant(s) that provide the leakage electricity consumption source(s) l with electricity (MW)</t>
  </si>
  <si>
    <t xml:space="preserve">Leakage electricity consumption sources that are supplied with power from captive power plant(s) installed at one site </t>
  </si>
  <si>
    <t>If scenario A was chosen:</t>
  </si>
  <si>
    <t>Scenario A has 2 options, please select the appropriate one for your project:
Option A1: Calculate the combined margin emission factor of the applicable electricity system, using the procedures in the latest approved version of the “Use Tool 7 to calculate the emission factor for an electricity system” (EFEL,j/k/l,y = EFgrid,CM,y). 
Option A2: Use conservative default values</t>
  </si>
  <si>
    <t>Option A2</t>
  </si>
  <si>
    <r>
      <rPr>
        <b/>
        <sz val="11"/>
        <color theme="1"/>
        <rFont val="Calibri"/>
        <family val="2"/>
        <scheme val="minor"/>
      </rPr>
      <t>"Option A2" Default Values</t>
    </r>
    <r>
      <rPr>
        <sz val="12"/>
        <color theme="1"/>
        <rFont val="Calibri"/>
        <family val="2"/>
        <scheme val="minor"/>
      </rPr>
      <t xml:space="preserve"> is the only option until Tool 07 is available </t>
    </r>
  </si>
  <si>
    <t>If Option A2:</t>
  </si>
  <si>
    <t>Choose which option applies to the Default Values for Scenario A:
2.1: Only to project and/or leakage electricity consumption sources but not to baseline electricity consumption sources
or 
2.2: Only to baseline electricity consumption sources but not to project or leakage electricity consumption sources</t>
  </si>
  <si>
    <t>Option 2.2</t>
  </si>
  <si>
    <t>If Option 2.2:</t>
  </si>
  <si>
    <t>Does hydro power plants constitute less than 50% of total grid generation in:
1) average of the five most recent years
or
2) based on long-term averages for hydroelectricity production</t>
  </si>
  <si>
    <t>If yes a value of 0.4 t CO2/MWh will be used for EFEL,j/k/l,y
If no a value of 0.25 t CO2/MWh will be used for EFEL,j/k/l,y</t>
  </si>
  <si>
    <r>
      <t>EF</t>
    </r>
    <r>
      <rPr>
        <vertAlign val="subscript"/>
        <sz val="20"/>
        <color theme="1"/>
        <rFont val="Calibri"/>
        <family val="2"/>
        <scheme val="minor"/>
      </rPr>
      <t>EL,j/k/l,y</t>
    </r>
  </si>
  <si>
    <t>If Option A1: Value must be derived from Tool 7
If Option A2.1: Use value of 1.3 t CO2/MWh
If Option A2.2: Use value of 0.25 t CO2/MWh (or value of 0.4 t CO2/MWh if yes to question above)</t>
  </si>
  <si>
    <t>Scenario B1: Electricity consumption from an off-grid captive power plant (Monitored Data)</t>
  </si>
  <si>
    <t>If Scenario B was chosen:</t>
  </si>
  <si>
    <t>Tool 05 provides 2 approaches to calculate project and /or leakage emissions, a generic approach or an alternative approach only if the project applies to the following:
(a) Scenario B (as described in Tool 5 Section 2.2, paragraph 5) applies to an electricity consumer
(b) The electricity consumer is a project or leakage source.
Please select if your project follows these and which approach you would like to use:</t>
  </si>
  <si>
    <t>No: Generic Approach</t>
  </si>
  <si>
    <t>If No: Generic Approach, use Generic Approach section using values from Scenario B
If Yes: Alternative Approach, use Alternative Approach section</t>
  </si>
  <si>
    <t>If "No: Generic Approach" was chosen:</t>
  </si>
  <si>
    <t>Please select which approach you would like to use for your Scenario B project calculations:</t>
  </si>
  <si>
    <t>Monitored Data</t>
  </si>
  <si>
    <t>If "Monitored Data" then continue to next question below
If "Default Values" then move to first question of Scenario B2 (Default Values)</t>
  </si>
  <si>
    <t>If "Monitored Data" was chosen:</t>
  </si>
  <si>
    <t>Choose which option applies to the monitored data:
A: Case where none of the captive power plants is a cogeneration plant or where the heat generation is ignored
or 
B: Case where the CO2 emission factor for electricity generation is calculated by allocating the fuel consumption between electricity and heat generation</t>
  </si>
  <si>
    <t>Heat Generation ignored</t>
  </si>
  <si>
    <t>If "Heat Generation Ignored" then use bottom EF "Heat Generation Ignored" values for Generic Approach
If "Fuel Consumption" then use bottom EF "Fuel Consumption" values for Generic Approach</t>
  </si>
  <si>
    <t>Emission factor for electricity generation for source j, k or l in year y (where the heatgeneration is ignored (t CO2/MWh)</t>
  </si>
  <si>
    <t>Sum of all "Heat generation ignored" values from Power Plants Sheet</t>
  </si>
  <si>
    <t>Sum of all "Fuel consumption between electricity and heat generation" values from Power Plants Sheet</t>
  </si>
  <si>
    <t>If "Default Values" was chosen:</t>
  </si>
  <si>
    <t>Choose which option applies to the Default Values for Scenario B:
A: Only to project and/or leakage electricity consumption sources but not to baseline electricity consumption sources
or 
B: Only to baseline electricity consumption sources but not to project or leakage electricity consumption sources</t>
  </si>
  <si>
    <t>Answer to this choice will determine which value below will be used</t>
  </si>
  <si>
    <t>Use this value if Option A was chosen</t>
  </si>
  <si>
    <t>Use this value if Option B was chosen</t>
  </si>
  <si>
    <t xml:space="preserve">Scenario C:  Electricity consumption from the grid and (a) fossil fuel fired captive power plant(s) </t>
  </si>
  <si>
    <r>
      <t xml:space="preserve">Under Scanario C the consumption of electricity in the project, the baseline or as a source of leakage may result in different emission levels, depending on the situation of the project activity. 
The following three cases can be differentiated, please select the appropriate option for your project: 
</t>
    </r>
    <r>
      <rPr>
        <b/>
        <u/>
        <sz val="11"/>
        <color theme="1"/>
        <rFont val="Calibri"/>
        <family val="2"/>
        <scheme val="minor"/>
      </rPr>
      <t xml:space="preserve">Case 1: </t>
    </r>
    <r>
      <rPr>
        <sz val="12"/>
        <color theme="1"/>
        <rFont val="Calibri"/>
        <family val="2"/>
        <scheme val="minor"/>
      </rPr>
      <t xml:space="preserve">Grid electricity. The implementation of the project activity only affects the quantity of electricity that is supplied from the grid and not the operation of the captive power plant. 
</t>
    </r>
    <r>
      <rPr>
        <b/>
        <u/>
        <sz val="11"/>
        <color theme="1"/>
        <rFont val="Calibri"/>
        <family val="2"/>
        <scheme val="minor"/>
      </rPr>
      <t>Case 2:</t>
    </r>
    <r>
      <rPr>
        <sz val="12"/>
        <color theme="1"/>
        <rFont val="Calibri"/>
        <family val="2"/>
        <scheme val="minor"/>
      </rPr>
      <t xml:space="preserve"> Electricity from captive power plant(s). The implementation of the project activity is clearly demonstrated to only affect the quantity of electricity that is generated in the captive power plant(s) and does not affect the quantity of electricity supplied from the grid. 
</t>
    </r>
    <r>
      <rPr>
        <b/>
        <u/>
        <sz val="11"/>
        <color theme="1"/>
        <rFont val="Calibri"/>
        <family val="2"/>
        <scheme val="minor"/>
      </rPr>
      <t>Case 3:</t>
    </r>
    <r>
      <rPr>
        <sz val="12"/>
        <color theme="1"/>
        <rFont val="Calibri"/>
        <family val="2"/>
        <scheme val="minor"/>
      </rPr>
      <t xml:space="preserve"> Electricity from both the grid and captive power plant(s). The implementation of the project activity may affect both the quantity of electricity that is generated in the captive power plant(s) and the quantity of electricity supplied from the grid.</t>
    </r>
  </si>
  <si>
    <t>Case 1</t>
  </si>
  <si>
    <t>If Case 1 was chosen:</t>
  </si>
  <si>
    <t>Redirect to Scenario A</t>
  </si>
  <si>
    <t>If Case 2 was chosen:</t>
  </si>
  <si>
    <t>Redirect to Scenario B</t>
  </si>
  <si>
    <t>If Case 3 was chosen:</t>
  </si>
  <si>
    <t>Redirect to Scenario A &amp; B</t>
  </si>
  <si>
    <t xml:space="preserve">If case 3 was chosen, this means that the more conservative value should be chosen between 
a) the result of applying either option A1 or A2 
and 
b) the result of applying either option B1 or B2. </t>
  </si>
  <si>
    <t>Sum of all Added Power Plants Emission Factor</t>
  </si>
  <si>
    <t>Emission factor for electricity generation for source j, k or l in year y (where the heat generation is ignored (t CO2/MWh)</t>
  </si>
  <si>
    <t>Sum of each Emission Factor (Heat generation ignored)</t>
  </si>
  <si>
    <t>Sum of each Emission Factor (Fuel consumption between electricity and heat generation)</t>
  </si>
  <si>
    <r>
      <rPr>
        <sz val="18"/>
        <color rgb="FF000000"/>
        <rFont val="Calibri"/>
        <family val="2"/>
      </rPr>
      <t>NCV</t>
    </r>
    <r>
      <rPr>
        <vertAlign val="subscript"/>
        <sz val="18"/>
        <color rgb="FF000000"/>
        <rFont val="Calibri"/>
        <family val="2"/>
      </rPr>
      <t>i,t</t>
    </r>
  </si>
  <si>
    <t xml:space="preserve">Will auto-populate value from Default Values sheet dependent on Type of Fossil Fuel Used </t>
  </si>
  <si>
    <r>
      <t>EF</t>
    </r>
    <r>
      <rPr>
        <vertAlign val="subscript"/>
        <sz val="18"/>
        <color rgb="FF000000"/>
        <rFont val="Calibri"/>
        <family val="2"/>
      </rPr>
      <t>CO2,i,t</t>
    </r>
  </si>
  <si>
    <t xml:space="preserve">Will auto-populate converted value from Default Values sheet dependent on Type of Fossil Fuel Used </t>
  </si>
  <si>
    <r>
      <t>FC</t>
    </r>
    <r>
      <rPr>
        <vertAlign val="subscript"/>
        <sz val="18"/>
        <color rgb="FF000000"/>
        <rFont val="Calibri"/>
        <family val="2"/>
      </rPr>
      <t>n,i,t</t>
    </r>
  </si>
  <si>
    <r>
      <t>EG</t>
    </r>
    <r>
      <rPr>
        <vertAlign val="subscript"/>
        <sz val="18"/>
        <color rgb="FF000000"/>
        <rFont val="Calibri"/>
        <family val="2"/>
      </rPr>
      <t>n,t</t>
    </r>
  </si>
  <si>
    <r>
      <t>HG</t>
    </r>
    <r>
      <rPr>
        <vertAlign val="subscript"/>
        <sz val="18"/>
        <color rgb="FF000000"/>
        <rFont val="Calibri"/>
        <family val="2"/>
      </rPr>
      <t>n,t</t>
    </r>
  </si>
  <si>
    <t>Quantity of heat co-generated in captive power plant n in the time period t (GJ). (Only applicable if the CO2 emission factor for electricity generation is calculated by allocating the fuel consumption between electricity and heat generation)</t>
  </si>
  <si>
    <r>
      <t>η</t>
    </r>
    <r>
      <rPr>
        <vertAlign val="subscript"/>
        <sz val="18"/>
        <color theme="1"/>
        <rFont val="Calibri"/>
        <family val="2"/>
        <scheme val="minor"/>
      </rPr>
      <t>boiler,y</t>
    </r>
  </si>
  <si>
    <t>Default Values (will not change)</t>
  </si>
  <si>
    <t>Plant 3</t>
  </si>
  <si>
    <t xml:space="preserve">IPCC Default Values </t>
  </si>
  <si>
    <t>"NCV" Net Calorific Value (TJ/Gg)</t>
  </si>
  <si>
    <t>"EFCO2" Effective Default CO2 Emission Factors for Combustion (kg/TJ)</t>
  </si>
  <si>
    <t>Determination of the quantity of methane produced in the digester (QCH4,y)</t>
  </si>
  <si>
    <t>Is your project large scale or small scale?</t>
  </si>
  <si>
    <t>If PP selects "large scale" they will use option one calculation using monitored data if they select "small scale" the follow up with question in D4.</t>
  </si>
  <si>
    <t>Do you want to use default values or monitored data to calculate the quantity of methane produced in the digester?</t>
  </si>
  <si>
    <r>
      <t>Default Values or Monitored Data</t>
    </r>
    <r>
      <rPr>
        <sz val="11"/>
        <color rgb="FFFF0000"/>
        <rFont val="Calibri"/>
        <family val="2"/>
        <scheme val="minor"/>
      </rPr>
      <t xml:space="preserve"> (If Default Value use schema in row 41, if Monitored Data use schema in row 18)</t>
    </r>
  </si>
  <si>
    <t>Does the anaerobic digester consumes electricity, such as for mixing, recirculation of digestate, or processing of feed material?</t>
  </si>
  <si>
    <t xml:space="preserve">If no then no calculation is needed for "Project emissions from electricity consumption associated with the anaerobic digester", if yes then follow up with question in D7. </t>
  </si>
  <si>
    <t>Is the electricity consumed
generated on-site using biomass residues, wind, hydro or geothermal power?</t>
  </si>
  <si>
    <t xml:space="preserve">If yes then  "Project emissions from electricity consumption associated with the anaerobic digester" is equal to 0, if no then follow up with question in D8. </t>
  </si>
  <si>
    <t>Do you want to use default values or monitored data to calculate project emissions from electricity consumption associated with anaerobic digesters?</t>
  </si>
  <si>
    <r>
      <t xml:space="preserve">Default Values or Monitored Data </t>
    </r>
    <r>
      <rPr>
        <sz val="11"/>
        <color rgb="FFFF0000"/>
        <rFont val="Calibri"/>
        <family val="2"/>
        <scheme val="minor"/>
      </rPr>
      <t>(If Default Value use schema in row 48, if Monitored Data use schema in row 46)</t>
    </r>
  </si>
  <si>
    <t>Determination of leakage emissions associated with storage of 
digestate (LEstorage,y) of project emissions from electricity consumption (PEEC,y)</t>
  </si>
  <si>
    <t>Is the digestate is stored under the following anaerobic
conditions?</t>
  </si>
  <si>
    <r>
      <rPr>
        <b/>
        <sz val="11"/>
        <color rgb="FF000000"/>
        <rFont val="Calibri"/>
        <family val="2"/>
        <scheme val="minor"/>
      </rPr>
      <t>Option 1-</t>
    </r>
    <r>
      <rPr>
        <sz val="11"/>
        <color rgb="FF000000"/>
        <rFont val="Calibri"/>
        <family val="2"/>
        <scheme val="minor"/>
      </rPr>
      <t xml:space="preserve"> In an un-aerated lagoon that has a depth of more than one meter, </t>
    </r>
    <r>
      <rPr>
        <b/>
        <sz val="11"/>
        <color rgb="FF000000"/>
        <rFont val="Calibri"/>
        <family val="2"/>
        <scheme val="minor"/>
      </rPr>
      <t>Option 2-</t>
    </r>
    <r>
      <rPr>
        <sz val="11"/>
        <color rgb="FF000000"/>
        <rFont val="Calibri"/>
        <family val="2"/>
        <scheme val="minor"/>
      </rPr>
      <t xml:space="preserve"> In a solid waste disposal site (SWDS), including stockpiles that are considered a SWDS, or </t>
    </r>
    <r>
      <rPr>
        <b/>
        <sz val="11"/>
        <color rgb="FF000000"/>
        <rFont val="Calibri"/>
        <family val="2"/>
        <scheme val="minor"/>
      </rPr>
      <t>Option 3-</t>
    </r>
    <r>
      <rPr>
        <sz val="11"/>
        <color rgb="FF000000"/>
        <rFont val="Calibri"/>
        <family val="2"/>
        <scheme val="minor"/>
      </rPr>
      <t xml:space="preserve"> None of the above apply </t>
    </r>
    <r>
      <rPr>
        <sz val="11"/>
        <color rgb="FFFF0000"/>
        <rFont val="Calibri"/>
        <family val="2"/>
        <scheme val="minor"/>
      </rPr>
      <t>(then F64 will be 0)</t>
    </r>
    <r>
      <rPr>
        <sz val="11"/>
        <color rgb="FF000000"/>
        <rFont val="Calibri"/>
        <family val="2"/>
        <scheme val="minor"/>
      </rPr>
      <t>. If option 1 or 2 is selected then follow up with question in D11</t>
    </r>
  </si>
  <si>
    <t>Do you want to use default values or monitored data to calculate leakage emissions associated with storage of digestate?</t>
  </si>
  <si>
    <r>
      <rPr>
        <b/>
        <sz val="11"/>
        <color rgb="FF000000"/>
        <rFont val="Calibri"/>
        <family val="2"/>
        <scheme val="minor"/>
      </rPr>
      <t>Option 1</t>
    </r>
    <r>
      <rPr>
        <sz val="11"/>
        <color rgb="FF000000"/>
        <rFont val="Calibri"/>
        <family val="2"/>
        <scheme val="minor"/>
      </rPr>
      <t xml:space="preserve"> has the option between Default Values </t>
    </r>
    <r>
      <rPr>
        <sz val="11"/>
        <color rgb="FFFF0000"/>
        <rFont val="Calibri"/>
        <family val="2"/>
        <scheme val="minor"/>
      </rPr>
      <t>(row 73)</t>
    </r>
    <r>
      <rPr>
        <sz val="11"/>
        <color rgb="FF000000"/>
        <rFont val="Calibri"/>
        <family val="2"/>
        <scheme val="minor"/>
      </rPr>
      <t xml:space="preserve"> or Monitored Data </t>
    </r>
    <r>
      <rPr>
        <sz val="11"/>
        <color rgb="FFFF0000"/>
        <rFont val="Calibri"/>
        <family val="2"/>
        <scheme val="minor"/>
      </rPr>
      <t>(row 66)</t>
    </r>
    <r>
      <rPr>
        <sz val="11"/>
        <color rgb="FF000000"/>
        <rFont val="Calibri"/>
        <family val="2"/>
        <scheme val="minor"/>
      </rPr>
      <t xml:space="preserve">, </t>
    </r>
    <r>
      <rPr>
        <b/>
        <sz val="11"/>
        <color rgb="FF000000"/>
        <rFont val="Calibri"/>
        <family val="2"/>
        <scheme val="minor"/>
      </rPr>
      <t>Option 2</t>
    </r>
    <r>
      <rPr>
        <sz val="11"/>
        <color rgb="FF000000"/>
        <rFont val="Calibri"/>
        <family val="2"/>
        <scheme val="minor"/>
      </rPr>
      <t xml:space="preserve"> can only use Default Values </t>
    </r>
    <r>
      <rPr>
        <sz val="11"/>
        <color rgb="FFFF0000"/>
        <rFont val="Calibri"/>
        <family val="2"/>
        <scheme val="minor"/>
      </rPr>
      <t>(row 78)</t>
    </r>
  </si>
  <si>
    <t xml:space="preserve">Project Emissions associated with anaerobic digesters </t>
  </si>
  <si>
    <t>PEAD,y</t>
  </si>
  <si>
    <t>Project emissions associated with the anaerobic digester in year y (t CO2e)</t>
  </si>
  <si>
    <t>PEEC,y</t>
  </si>
  <si>
    <t>Project emissions from electricity consumption associated with the anaerobic digester in year y (t CO2e)</t>
  </si>
  <si>
    <t>If using monitored data then use F47, if using default data then use F49</t>
  </si>
  <si>
    <t>Project emissions from fossil fuel consumption associated with the anaerobic digester in year y (t CO2e)</t>
  </si>
  <si>
    <t>Project emissions of methane from the anaerobic digester in year y (t CO2e)</t>
  </si>
  <si>
    <t>PEflare,y</t>
  </si>
  <si>
    <t>Project emissions from flaring of biogas in year y (t CO2e)</t>
  </si>
  <si>
    <t>Quantity of methane produced in the digester (QCH4,y) (Monitored Data)</t>
  </si>
  <si>
    <t xml:space="preserve">mH2O,t,db,Sat </t>
  </si>
  <si>
    <t>Saturation absolute humidity in time interval t on a dry basis (kg H2O/kg dry gas)</t>
  </si>
  <si>
    <t xml:space="preserve">pH2O,t,Sat </t>
  </si>
  <si>
    <t>Saturation pressure of H2O at temperature Tt in time interval t (Pa)</t>
  </si>
  <si>
    <t xml:space="preserve">Tt </t>
  </si>
  <si>
    <t>Temperature of the gaseous stream in time interval t (K)</t>
  </si>
  <si>
    <t xml:space="preserve">Pt </t>
  </si>
  <si>
    <t>Absolute pressure of the gaseous stream in time interval t (Pa)</t>
  </si>
  <si>
    <t xml:space="preserve">MMH2O </t>
  </si>
  <si>
    <t>Molecular mass of H2O (kg H2O/kmol H2O)</t>
  </si>
  <si>
    <t xml:space="preserve">MMt,db </t>
  </si>
  <si>
    <t>Molecular mass of the gaseous stream in a time interval t on a dry basis (kg dry gas/kmol dry gas)</t>
  </si>
  <si>
    <t xml:space="preserve">vk,t,db </t>
  </si>
  <si>
    <t>Volumetric fraction of gas k in the gaseous stream in time interval t on a dry basis (m³ gas k/m³ dry gas)</t>
  </si>
  <si>
    <t xml:space="preserve">MMk </t>
  </si>
  <si>
    <t>Molecular mass of gas k (kg/kmol)</t>
  </si>
  <si>
    <t xml:space="preserve">k </t>
  </si>
  <si>
    <t>All gases, except H2O, contained in the gaseous stream</t>
  </si>
  <si>
    <t>Methane (CH4)</t>
  </si>
  <si>
    <t>Fi,t</t>
  </si>
  <si>
    <t>Mass flow of greenhouse gas i in the gaseous stream in time interval t (kg gas/h)</t>
  </si>
  <si>
    <t xml:space="preserve">Vt,wb, n </t>
  </si>
  <si>
    <t>Volumetric flow of the gaseous stream in time interval t on a wet basis at normal conditions (m³ wet gas/h)</t>
  </si>
  <si>
    <t xml:space="preserve">vi,t,wb </t>
  </si>
  <si>
    <t>Volumetric fraction of greenhouse gas i in the gaseous stream in time interval t on a wet basis (m³ gas i/m³ wet gas)</t>
  </si>
  <si>
    <t xml:space="preserve">pi,n </t>
  </si>
  <si>
    <t xml:space="preserve">Density of greenhouse gas i in the gaseous stream at normal conditions
(kg gas i/m³ wet gas i) </t>
  </si>
  <si>
    <t>Pn Absolute pressure at normal conditions (Pa)</t>
  </si>
  <si>
    <t xml:space="preserve">Tn </t>
  </si>
  <si>
    <t>Temperature at normal conditions (K)</t>
  </si>
  <si>
    <t xml:space="preserve">MMi </t>
  </si>
  <si>
    <t>Molecular mass of greenhouse gas i (kg/kmol)</t>
  </si>
  <si>
    <t xml:space="preserve">Ru </t>
  </si>
  <si>
    <t>Universal ideal gases constant (Pa.m3 /kmol.K)</t>
  </si>
  <si>
    <t xml:space="preserve">Mt,wb </t>
  </si>
  <si>
    <t>Mass flow of the gaseous stream in time interval t on a wet basis (kg/h</t>
  </si>
  <si>
    <t xml:space="preserve">Pt,wb,n </t>
  </si>
  <si>
    <t>Density of the gaseous stream in time interval t on a wet basis at normal conditions (kg wet gas/m3 wet gas)</t>
  </si>
  <si>
    <t xml:space="preserve">MMt,wb </t>
  </si>
  <si>
    <t>Molecular mass of the gaseous stream in time interval t on a wet basis
(kg wet gas/kmol wet gas)</t>
  </si>
  <si>
    <t xml:space="preserve">Vk,t,wb </t>
  </si>
  <si>
    <t>Volumetric fraction of gas k in the gaseous stream in time interval t on a wet basis (m³ gas k/m³ wet gas)</t>
  </si>
  <si>
    <t xml:space="preserve">t </t>
  </si>
  <si>
    <t>Time interval of monitoring (Example: 5 minutes or hourly)</t>
  </si>
  <si>
    <t>hourly basis or a smaller time interval</t>
  </si>
  <si>
    <t>Quantity of methane produced in the digester (QCH4,y) (Default Value)</t>
  </si>
  <si>
    <t xml:space="preserve">QCH4,y </t>
  </si>
  <si>
    <t>Quantity of methane produced in the digester in year y (t CH4)</t>
  </si>
  <si>
    <t xml:space="preserve">Qbiogas,y </t>
  </si>
  <si>
    <t>Amount of biogas collected at the digester outlet in year y (Nm3 biogas)</t>
  </si>
  <si>
    <t xml:space="preserve">fCH4,default </t>
  </si>
  <si>
    <t>Default value for the fraction of methane in the biogas (m3 CH4 / m3 biogas)</t>
  </si>
  <si>
    <t>PCH4</t>
  </si>
  <si>
    <t>Density of methane at normal conditions (t CH4 / Nm3 CH4)</t>
  </si>
  <si>
    <t>Project emissions from electricity consumption (PEEC,y) (Monitored Data)</t>
  </si>
  <si>
    <t>Comes from Tool 05</t>
  </si>
  <si>
    <t>Project emissions from electricity consumption (PEEC,y) (Default Value)</t>
  </si>
  <si>
    <t>Project emissions from electricity consumption associated with the anaerobic digester in year y (t CO2)</t>
  </si>
  <si>
    <t>Quantity of methane produced in the anaerobic digester in year y (t CH4)</t>
  </si>
  <si>
    <t xml:space="preserve">FEC,default </t>
  </si>
  <si>
    <t>Default factor for the electricity consumption associated with the anaerobic digester per ton of methane generated (MWh / t CH4)</t>
  </si>
  <si>
    <r>
      <t>PP should answer</t>
    </r>
    <r>
      <rPr>
        <u/>
        <sz val="11"/>
        <color theme="1"/>
        <rFont val="Calibri"/>
        <family val="2"/>
        <scheme val="minor"/>
      </rPr>
      <t xml:space="preserve"> "Please select the digester that is being used in this project"</t>
    </r>
    <r>
      <rPr>
        <sz val="12"/>
        <color theme="1"/>
        <rFont val="Calibri"/>
        <family val="2"/>
        <scheme val="minor"/>
      </rPr>
      <t xml:space="preserve">. These are the options: </t>
    </r>
    <r>
      <rPr>
        <b/>
        <sz val="11"/>
        <color theme="1"/>
        <rFont val="Calibri"/>
        <family val="2"/>
        <scheme val="minor"/>
      </rPr>
      <t xml:space="preserve">Option A- </t>
    </r>
    <r>
      <rPr>
        <sz val="12"/>
        <color theme="1"/>
        <rFont val="Calibri"/>
        <family val="2"/>
        <scheme val="minor"/>
      </rPr>
      <t xml:space="preserve">Covered anaerobic lagoons (gravity fed) / conventional
digesters, </t>
    </r>
    <r>
      <rPr>
        <b/>
        <sz val="11"/>
        <color theme="1"/>
        <rFont val="Calibri"/>
        <family val="2"/>
        <scheme val="minor"/>
      </rPr>
      <t>Option B-</t>
    </r>
    <r>
      <rPr>
        <sz val="12"/>
        <color theme="1"/>
        <rFont val="Calibri"/>
        <family val="2"/>
        <scheme val="minor"/>
      </rPr>
      <t xml:space="preserve"> Upflow anaerobic sludge blanket reactor (UASB) / filter
bed reactor for wastewater / fluidized bed reactor, </t>
    </r>
    <r>
      <rPr>
        <b/>
        <sz val="11"/>
        <color theme="1"/>
        <rFont val="Calibri"/>
        <family val="2"/>
        <scheme val="minor"/>
      </rPr>
      <t>Option C-</t>
    </r>
    <r>
      <rPr>
        <sz val="12"/>
        <color theme="1"/>
        <rFont val="Calibri"/>
        <family val="2"/>
        <scheme val="minor"/>
      </rPr>
      <t xml:space="preserve"> Conventional digesters with continuously stirred tank reactor type for wastewater, </t>
    </r>
    <r>
      <rPr>
        <b/>
        <sz val="11"/>
        <color theme="1"/>
        <rFont val="Calibri"/>
        <family val="2"/>
        <scheme val="minor"/>
      </rPr>
      <t xml:space="preserve">Option D- </t>
    </r>
    <r>
      <rPr>
        <sz val="12"/>
        <color theme="1"/>
        <rFont val="Calibri"/>
        <family val="2"/>
        <scheme val="minor"/>
      </rPr>
      <t xml:space="preserve">Any anaerobic digester for solid waste with preprocessing of wastes (e.g. pulverizing), and </t>
    </r>
    <r>
      <rPr>
        <b/>
        <sz val="11"/>
        <color theme="1"/>
        <rFont val="Calibri"/>
        <family val="2"/>
        <scheme val="minor"/>
      </rPr>
      <t>Option E-</t>
    </r>
    <r>
      <rPr>
        <sz val="12"/>
        <color theme="1"/>
        <rFont val="Calibri"/>
        <family val="2"/>
        <scheme val="minor"/>
      </rPr>
      <t xml:space="preserve"> Any digesters other than those specified above, which are fed bygravity, and have no recirculation. </t>
    </r>
    <r>
      <rPr>
        <u/>
        <sz val="11"/>
        <color theme="1"/>
        <rFont val="Calibri"/>
        <family val="2"/>
        <scheme val="minor"/>
      </rPr>
      <t>Values are then auto-calulated based on response:</t>
    </r>
    <r>
      <rPr>
        <b/>
        <u/>
        <sz val="11"/>
        <color theme="1"/>
        <rFont val="Calibri"/>
        <family val="2"/>
        <scheme val="minor"/>
      </rPr>
      <t xml:space="preserve"> Option A</t>
    </r>
    <r>
      <rPr>
        <u/>
        <sz val="11"/>
        <color theme="1"/>
        <rFont val="Calibri"/>
        <family val="2"/>
        <scheme val="minor"/>
      </rPr>
      <t xml:space="preserve"> = 0, </t>
    </r>
    <r>
      <rPr>
        <b/>
        <u/>
        <sz val="11"/>
        <color theme="1"/>
        <rFont val="Calibri"/>
        <family val="2"/>
        <scheme val="minor"/>
      </rPr>
      <t xml:space="preserve">Option B </t>
    </r>
    <r>
      <rPr>
        <u/>
        <sz val="11"/>
        <color theme="1"/>
        <rFont val="Calibri"/>
        <family val="2"/>
        <scheme val="minor"/>
      </rPr>
      <t xml:space="preserve">= 0.01, </t>
    </r>
    <r>
      <rPr>
        <b/>
        <u/>
        <sz val="11"/>
        <color theme="1"/>
        <rFont val="Calibri"/>
        <family val="2"/>
        <scheme val="minor"/>
      </rPr>
      <t>Option C</t>
    </r>
    <r>
      <rPr>
        <u/>
        <sz val="11"/>
        <color theme="1"/>
        <rFont val="Calibri"/>
        <family val="2"/>
        <scheme val="minor"/>
      </rPr>
      <t xml:space="preserve"> = 1.02, </t>
    </r>
    <r>
      <rPr>
        <b/>
        <u/>
        <sz val="11"/>
        <color theme="1"/>
        <rFont val="Calibri"/>
        <family val="2"/>
        <scheme val="minor"/>
      </rPr>
      <t>Option D</t>
    </r>
    <r>
      <rPr>
        <u/>
        <sz val="11"/>
        <color theme="1"/>
        <rFont val="Calibri"/>
        <family val="2"/>
        <scheme val="minor"/>
      </rPr>
      <t xml:space="preserve"> = 1.54 and </t>
    </r>
    <r>
      <rPr>
        <b/>
        <u/>
        <sz val="11"/>
        <color theme="1"/>
        <rFont val="Calibri"/>
        <family val="2"/>
        <scheme val="minor"/>
      </rPr>
      <t>Option E</t>
    </r>
    <r>
      <rPr>
        <u/>
        <sz val="11"/>
        <color theme="1"/>
        <rFont val="Calibri"/>
        <family val="2"/>
        <scheme val="minor"/>
      </rPr>
      <t xml:space="preserve"> = 0 </t>
    </r>
  </si>
  <si>
    <t xml:space="preserve">EFEL,default </t>
  </si>
  <si>
    <t>Default emission factor for the electricity consumed in year y (t CO2 / MWh)</t>
  </si>
  <si>
    <t>Project emissions from fossil fuel consumption
(PEFC,y)</t>
  </si>
  <si>
    <t>Comes from Tool 03</t>
  </si>
  <si>
    <t>Project emissions of methane from the anaerobic 
digester (PECH4,y)</t>
  </si>
  <si>
    <t xml:space="preserve">PECH4,y </t>
  </si>
  <si>
    <t xml:space="preserve">EFCH4,default </t>
  </si>
  <si>
    <t>Default emission factor for the fraction of CH4 produced that leaks from the anaerobic digester (fraction)</t>
  </si>
  <si>
    <r>
      <t xml:space="preserve">PP should answer </t>
    </r>
    <r>
      <rPr>
        <u/>
        <sz val="11"/>
        <color theme="1"/>
        <rFont val="Calibri"/>
        <family val="2"/>
        <scheme val="minor"/>
      </rPr>
      <t>"What type of digester is used in the project activity?"</t>
    </r>
    <r>
      <rPr>
        <sz val="12"/>
        <color theme="1"/>
        <rFont val="Calibri"/>
        <family val="2"/>
        <scheme val="minor"/>
      </rPr>
      <t xml:space="preserve"> by selecting from these options: </t>
    </r>
    <r>
      <rPr>
        <b/>
        <sz val="11"/>
        <color theme="1"/>
        <rFont val="Calibri"/>
        <family val="2"/>
        <scheme val="minor"/>
      </rPr>
      <t>Option A-</t>
    </r>
    <r>
      <rPr>
        <sz val="12"/>
        <color theme="1"/>
        <rFont val="Calibri"/>
        <family val="2"/>
        <scheme val="minor"/>
      </rPr>
      <t xml:space="preserve"> Digesters with steel or lined concrete or fiberglass
digesters and a gas holding system (egg shaped digesters) and
monolithic construction,  </t>
    </r>
    <r>
      <rPr>
        <b/>
        <sz val="11"/>
        <color theme="1"/>
        <rFont val="Calibri"/>
        <family val="2"/>
        <scheme val="minor"/>
      </rPr>
      <t xml:space="preserve">Option B- </t>
    </r>
    <r>
      <rPr>
        <sz val="12"/>
        <color theme="1"/>
        <rFont val="Calibri"/>
        <family val="2"/>
        <scheme val="minor"/>
      </rPr>
      <t>UASB type digesters, floating gas holders with no external
water seal,</t>
    </r>
    <r>
      <rPr>
        <b/>
        <sz val="11"/>
        <color theme="1"/>
        <rFont val="Calibri"/>
        <family val="2"/>
        <scheme val="minor"/>
      </rPr>
      <t xml:space="preserve"> Option C-</t>
    </r>
    <r>
      <rPr>
        <sz val="12"/>
        <color theme="1"/>
        <rFont val="Calibri"/>
        <family val="2"/>
        <scheme val="minor"/>
      </rPr>
      <t xml:space="preserve"> Digesters with unlined concrete/ferrocement/brick masonry
arched type gas holding section; monolithic fixed dome
digesters, covered anaerobic lagoon, or </t>
    </r>
    <r>
      <rPr>
        <b/>
        <sz val="11"/>
        <color theme="1"/>
        <rFont val="Calibri"/>
        <family val="2"/>
        <scheme val="minor"/>
      </rPr>
      <t>Option D-</t>
    </r>
    <r>
      <rPr>
        <sz val="12"/>
        <color theme="1"/>
        <rFont val="Calibri"/>
        <family val="2"/>
        <scheme val="minor"/>
      </rPr>
      <t xml:space="preserve"> other. </t>
    </r>
    <r>
      <rPr>
        <u/>
        <sz val="11"/>
        <color theme="1"/>
        <rFont val="Calibri"/>
        <family val="2"/>
        <scheme val="minor"/>
      </rPr>
      <t xml:space="preserve">Values are then auto-calculated based on response: </t>
    </r>
    <r>
      <rPr>
        <b/>
        <u/>
        <sz val="11"/>
        <color theme="1"/>
        <rFont val="Calibri"/>
        <family val="2"/>
        <scheme val="minor"/>
      </rPr>
      <t>Option A =</t>
    </r>
    <r>
      <rPr>
        <u/>
        <sz val="11"/>
        <color theme="1"/>
        <rFont val="Calibri"/>
        <family val="2"/>
        <scheme val="minor"/>
      </rPr>
      <t xml:space="preserve"> 0.028, </t>
    </r>
    <r>
      <rPr>
        <b/>
        <u/>
        <sz val="11"/>
        <color theme="1"/>
        <rFont val="Calibri"/>
        <family val="2"/>
        <scheme val="minor"/>
      </rPr>
      <t>Option B</t>
    </r>
    <r>
      <rPr>
        <u/>
        <sz val="11"/>
        <color theme="1"/>
        <rFont val="Calibri"/>
        <family val="2"/>
        <scheme val="minor"/>
      </rPr>
      <t xml:space="preserve"> = 0.05, </t>
    </r>
    <r>
      <rPr>
        <b/>
        <u/>
        <sz val="11"/>
        <color theme="1"/>
        <rFont val="Calibri"/>
        <family val="2"/>
        <scheme val="minor"/>
      </rPr>
      <t>Option C</t>
    </r>
    <r>
      <rPr>
        <u/>
        <sz val="11"/>
        <color theme="1"/>
        <rFont val="Calibri"/>
        <family val="2"/>
        <scheme val="minor"/>
      </rPr>
      <t xml:space="preserve"> = 0.10 and </t>
    </r>
    <r>
      <rPr>
        <b/>
        <u/>
        <sz val="11"/>
        <color theme="1"/>
        <rFont val="Calibri"/>
        <family val="2"/>
        <scheme val="minor"/>
      </rPr>
      <t>Option D</t>
    </r>
    <r>
      <rPr>
        <u/>
        <sz val="11"/>
        <color theme="1"/>
        <rFont val="Calibri"/>
        <family val="2"/>
        <scheme val="minor"/>
      </rPr>
      <t xml:space="preserve"> = 0.01</t>
    </r>
  </si>
  <si>
    <t xml:space="preserve">GWPCH4 </t>
  </si>
  <si>
    <t>Global warming potential of CH4 (t CO2 / t CH4)</t>
  </si>
  <si>
    <t>Project emissions from flaring of biogas (PEflare,y)</t>
  </si>
  <si>
    <t xml:space="preserve">PEflare,y </t>
  </si>
  <si>
    <t>Project emissions from flaring of the residual gas in year y (tCO2e)</t>
  </si>
  <si>
    <t>Comes from Tool 06</t>
  </si>
  <si>
    <t xml:space="preserve">Leakage emissions </t>
  </si>
  <si>
    <t xml:space="preserve">LEAD,y </t>
  </si>
  <si>
    <t>Leakage emissions associated with the anaerobic digester in year y (t CO2e)</t>
  </si>
  <si>
    <t xml:space="preserve">LEstorage,y </t>
  </si>
  <si>
    <t>Leakage emissions associated with storage of digestate in year y (t CO2e)</t>
  </si>
  <si>
    <t>This value would depend on the questionnaire. If PP is using monitored data for storage of liquid digestate then cell F67 would be used, if PP is using default values for storage of liquid digestate then cell F74 would be used, if PP is using default values for storage of solid digestate then cell F79 would be used</t>
  </si>
  <si>
    <t xml:space="preserve">LEcomp,y </t>
  </si>
  <si>
    <t>Leakage emissions associated with composting digestate in year y (t CO2e)</t>
  </si>
  <si>
    <t>Leakage emissions associated with storage of 
liquid digestate (LEstorage,y) (Monitored Data)</t>
  </si>
  <si>
    <t xml:space="preserve">Qstored,y </t>
  </si>
  <si>
    <t>Amount of liquid digestate stored anaerobically in year y (m3 )</t>
  </si>
  <si>
    <t xml:space="preserve">PCOD,y </t>
  </si>
  <si>
    <t>Average chemical oxygen demand (COD) of the liquid digestate in year y (t COD / m3 )</t>
  </si>
  <si>
    <t xml:space="preserve">B0 </t>
  </si>
  <si>
    <t>Maximum methane producing capacity of the COD applied (t CH4 / t COD)</t>
  </si>
  <si>
    <t xml:space="preserve">MCF </t>
  </si>
  <si>
    <t>For methane conversion factor calculation purposes select the depth of liquid digestate storage:</t>
  </si>
  <si>
    <t>Select one:  ≥ 2 m, &lt; 2 m and ≥ 1 m, &lt; 1 m. (Values to be applied for each option: ≥ 2 m = 0.8, &lt; 2 m and ≥ 1 m = 0.2, &lt; 1 m = 0)</t>
  </si>
  <si>
    <t>Leakage emissions associated with storage of 
liquid digestate (LEstorage,y) (Default Value)</t>
  </si>
  <si>
    <t xml:space="preserve">Fww,CH4,default </t>
  </si>
  <si>
    <t>Default factor representing the remaining methane production capacity of liquid digestate (fraction)</t>
  </si>
  <si>
    <r>
      <rPr>
        <b/>
        <sz val="11"/>
        <color theme="1"/>
        <rFont val="Calibri"/>
        <family val="2"/>
        <scheme val="minor"/>
      </rPr>
      <t>Select one:</t>
    </r>
    <r>
      <rPr>
        <sz val="12"/>
        <color theme="1"/>
        <rFont val="Calibri"/>
        <family val="2"/>
        <scheme val="minor"/>
      </rPr>
      <t xml:space="preserve"> Covered anaerobic lagoons,  UASB type digesters / Anaerobic filter bed digesters /Anaerobic fluidized bed digester,  Conventional digesters, or Two stage digesters. (Values aaplied for each option: Covered anaerobic lagoons = 0.10,  UASB type digesters / Anaerobic filter bed digesters /Anaerobic fluidized bed digester = 0.15,  Conventional digesters = 0.20, or Two stage digesters = 0.05)</t>
    </r>
  </si>
  <si>
    <t>Leakage emissions associated with storage of 
solid digestate (LEstorage,y) (Default Values)</t>
  </si>
  <si>
    <t xml:space="preserve">FSD,CH4,default </t>
  </si>
  <si>
    <t>Default factor for the methane generation capacity of solid digestate (fraction)</t>
  </si>
  <si>
    <r>
      <rPr>
        <b/>
        <sz val="11"/>
        <color theme="1"/>
        <rFont val="Calibri"/>
        <family val="2"/>
        <scheme val="minor"/>
      </rPr>
      <t>Select one:</t>
    </r>
    <r>
      <rPr>
        <sz val="12"/>
        <color theme="1"/>
        <rFont val="Calibri"/>
        <family val="2"/>
        <scheme val="minor"/>
      </rPr>
      <t xml:space="preserve"> Two phase digesters or All other technologies. (Values applied for each option: Two phase digesters = 0.15, All other technologies = 0.35)</t>
    </r>
  </si>
  <si>
    <t>Global warming potential of CH4 (t CO2/t CH4)</t>
  </si>
  <si>
    <t>TOOL 01: For the demonstration and assessment of additionality</t>
  </si>
  <si>
    <t xml:space="preserve">if/then </t>
  </si>
  <si>
    <t xml:space="preserve">Step 0 : First-of-its-kind project activities </t>
  </si>
  <si>
    <t xml:space="preserve">Is the proposed project activity the first-of-its-kind? </t>
  </si>
  <si>
    <t>If Yes: Project is Additional
If No: Move to Step 1</t>
  </si>
  <si>
    <t>string</t>
  </si>
  <si>
    <t>Provide explanation to justify answer.</t>
  </si>
  <si>
    <t>(Explanation/proof)</t>
  </si>
  <si>
    <t>Follow up to previous question.</t>
  </si>
  <si>
    <t>Step 1: Identification of alternatives</t>
  </si>
  <si>
    <t>(1) Have realistic and credible alternative scenario(s) to the project activity been identified?
(2) Are the alternative scenario(s) in compliance with mandatory legislation and regulations (taking into account the enforcement in the region or country and EB decisions on national and/or sectoral policies and regulations)?</t>
  </si>
  <si>
    <t>Yes, Yes</t>
  </si>
  <si>
    <t>If both Yes: then proceed to Step 2 (Investment analysis) or Step 3 (Barrier analysis)
If any No: Project is not additional.</t>
  </si>
  <si>
    <t>Step 2: Investment analysis</t>
  </si>
  <si>
    <t>If Yes: then proceed to Step 4 or to Step 3 if project participent wants to complete both (Optional to complete both Step 2 and 3)
If No: Move to Step 3.</t>
  </si>
  <si>
    <t>Step 3: Barrier analysis</t>
  </si>
  <si>
    <t>(1) Is there at least one barrier preventing the implementation of the proposed project activity without the CDM;
(2) Is at least one alternative scenario, other than proposed CDM project activity, not prevented by any of the identified barriers?</t>
  </si>
  <si>
    <t>If both Yes: then proceed to Step 4
If any No: Project is not additional.</t>
  </si>
  <si>
    <t xml:space="preserve">Step 4: Common practice analysis </t>
  </si>
  <si>
    <t xml:space="preserve">(1) No similar activities can be observed? 
(2) If similar activities are observed, are there essential distinctions between the proposed CDM project activity and similar activities that can reasonably be explained? </t>
  </si>
  <si>
    <t>If both Yes: Project is additional.
If any No: Project is not additional.</t>
  </si>
  <si>
    <t>Flowchart of Tool 1</t>
  </si>
  <si>
    <t>Property</t>
  </si>
  <si>
    <t>Methodology List</t>
  </si>
  <si>
    <t>AccountableImpactOrganization.id</t>
  </si>
  <si>
    <t>ACR- Truck Stop Electrification</t>
  </si>
  <si>
    <t>ACR- Advanced Refrigeration Systems</t>
  </si>
  <si>
    <t>AccountableImpactOrganization.description</t>
  </si>
  <si>
    <t xml:space="preserve">ACR- Certified Reclaimed HFC Refrigerants, Propellants, and Fire Suppressants </t>
  </si>
  <si>
    <t>ACR - Destruction of Ozone Depleting Substances and High-GWP Foam</t>
  </si>
  <si>
    <t>ACR- Destruction of Ozone Depleting Substances from International Sources</t>
  </si>
  <si>
    <t>AccountableImpactOrganization.country</t>
  </si>
  <si>
    <t>ACR- Transition to Advanced Formulation Blowing Agents in Foam Manufacturing</t>
  </si>
  <si>
    <t>AccountableImpactOrganization.region</t>
  </si>
  <si>
    <t>ACR - Afforestation and Reforestation of Degraded Lands</t>
  </si>
  <si>
    <t>AccountableImpactOrganization.informationLink</t>
  </si>
  <si>
    <t xml:space="preserve">ACR- Avoided Conversion of Grasslands and Shrublands to Crop Production </t>
  </si>
  <si>
    <t>AccountableImpactOrganization.mediaLinks</t>
  </si>
  <si>
    <t>ACR - Improved Forest Management (IFM) on Canadian Forestlands</t>
  </si>
  <si>
    <t>AccountableImpactOrganization.attestations</t>
  </si>
  <si>
    <t>ACR- Improved Forest Management (IFM) on Non-Federal U.S. Forestlands</t>
  </si>
  <si>
    <t xml:space="preserve">ACR- Improved Forest Management (IFM) on Small Non-Industrial Private Forestlands </t>
  </si>
  <si>
    <t>ActivityImpactModule.id</t>
  </si>
  <si>
    <t>ACR - Restoration of California Deltaic and Coastal Wetlands</t>
  </si>
  <si>
    <t>ActivityImpactModule.aioId</t>
  </si>
  <si>
    <t>ACR- Restoration of Pocosin Wetlands ACR - Carbon Capture and Storage Projects</t>
  </si>
  <si>
    <t>ActivityImpactModule.name</t>
  </si>
  <si>
    <t>CAR - Adipic Acid Production</t>
  </si>
  <si>
    <t>ActivityImpactModule.classificationCategory</t>
  </si>
  <si>
    <t xml:space="preserve">ACR- Landfill Gas Destruction and Beneficial Use Projects </t>
  </si>
  <si>
    <t>ActivityImpactModule.classificationMethod</t>
  </si>
  <si>
    <t>CAR- Biochar</t>
  </si>
  <si>
    <t>ActivityImpactModule.benefitCategory</t>
  </si>
  <si>
    <t>CAR- Canada Grassland</t>
  </si>
  <si>
    <t xml:space="preserve">CAR - Coal Mine Methane </t>
  </si>
  <si>
    <t>CAR - Forest</t>
  </si>
  <si>
    <t>CAR- Grassland</t>
  </si>
  <si>
    <t>ActivityImpactModule.arbId</t>
  </si>
  <si>
    <t>CAR- Mexico Boiler Efficiency</t>
  </si>
  <si>
    <t>ActivityImpactModule.geographicLocation</t>
  </si>
  <si>
    <t>CAR - Mexico Forest</t>
  </si>
  <si>
    <t>ActivityImpactModule.firstYearIssuance</t>
  </si>
  <si>
    <t>CAR- Mexico Halocarbon</t>
  </si>
  <si>
    <t>ActivityImpactModule.registryProjectId</t>
  </si>
  <si>
    <t xml:space="preserve">CAR - Mexico Landfill </t>
  </si>
  <si>
    <t>ActivityImpactModule.developers</t>
  </si>
  <si>
    <t>CAR - Mexico Livestock</t>
  </si>
  <si>
    <t>ActivityImpactModule.sponsors</t>
  </si>
  <si>
    <t>CAR - Nitric Acid Production</t>
  </si>
  <si>
    <t>ActivityImpactModule.claimSources</t>
  </si>
  <si>
    <t xml:space="preserve">CAR- Mexico Ozone Depleting Substances </t>
  </si>
  <si>
    <t>ActivityImpactModule.impactClaims</t>
  </si>
  <si>
    <t>CAR - Organic Waste Composting</t>
  </si>
  <si>
    <t>ActivityImpactModule.mrvExtensions</t>
  </si>
  <si>
    <t xml:space="preserve">CAR - Organic Waste Digestion </t>
  </si>
  <si>
    <t>ActivityImpactModule.validations</t>
  </si>
  <si>
    <t xml:space="preserve">CAR - Ozone Depleting Substances </t>
  </si>
  <si>
    <t>ActivityImpactModule.attestations</t>
  </si>
  <si>
    <t>CAR - Rice Cultivation</t>
  </si>
  <si>
    <t>ActivityImpactModule.accountableImpactOrganization</t>
  </si>
  <si>
    <t>CAR- Nitrogen Management</t>
  </si>
  <si>
    <t xml:space="preserve">CAR - Soil Enrichment </t>
  </si>
  <si>
    <t xml:space="preserve">CAR - Urban Forest Management </t>
  </si>
  <si>
    <t>CAR - Urban Tree Planting</t>
  </si>
  <si>
    <t xml:space="preserve">CAR - U.S. Landfill </t>
  </si>
  <si>
    <t>CAR - U.S. Livestock</t>
  </si>
  <si>
    <t>CDM - AM0001</t>
  </si>
  <si>
    <t>Address.addressType</t>
  </si>
  <si>
    <t>CDM - AM0007</t>
  </si>
  <si>
    <t>Address.addressLines</t>
  </si>
  <si>
    <t>CDM - AM0009</t>
  </si>
  <si>
    <t>Address.city</t>
  </si>
  <si>
    <t>CDM - AM0017</t>
  </si>
  <si>
    <t>Address.state</t>
  </si>
  <si>
    <t>CDM - AM0018</t>
  </si>
  <si>
    <t>Address.zip</t>
  </si>
  <si>
    <t>CDM - AM0019</t>
  </si>
  <si>
    <t>Address.country</t>
  </si>
  <si>
    <t>CDM - AM0020</t>
  </si>
  <si>
    <t>Any.typeUrl</t>
  </si>
  <si>
    <t>CDM - AM0021</t>
  </si>
  <si>
    <t>Any.value</t>
  </si>
  <si>
    <t>CDM - AM0023</t>
  </si>
  <si>
    <t>Attestation.tag</t>
  </si>
  <si>
    <t>CDM - AM0026</t>
  </si>
  <si>
    <t>Attestation.type</t>
  </si>
  <si>
    <t>CDM - AM0027</t>
  </si>
  <si>
    <t>Attestation.proofType</t>
  </si>
  <si>
    <t>CDM - AM0028</t>
  </si>
  <si>
    <t>Attestation.attestor</t>
  </si>
  <si>
    <t>CDM - AM0030</t>
  </si>
  <si>
    <t>Attestation.signature</t>
  </si>
  <si>
    <t>CDM - AM0031</t>
  </si>
  <si>
    <t>Audits.auditDate</t>
  </si>
  <si>
    <t>CDM - AM0035</t>
  </si>
  <si>
    <t>Audits.auditReports</t>
  </si>
  <si>
    <t>CDM - AM0036</t>
  </si>
  <si>
    <t>CRU.id</t>
  </si>
  <si>
    <t>CDM - AM0037</t>
  </si>
  <si>
    <t>CRU.quantity</t>
  </si>
  <si>
    <t>CDM - AM0038</t>
  </si>
  <si>
    <t>CRU.unit</t>
  </si>
  <si>
    <t>CDM - AM0043</t>
  </si>
  <si>
    <t>CRU.ownerId</t>
  </si>
  <si>
    <t>CDM - AM0044</t>
  </si>
  <si>
    <t>CRU.listingAgentId</t>
  </si>
  <si>
    <t>CDM - AM0045</t>
  </si>
  <si>
    <t>CRU.coreCarbonPrinciples</t>
  </si>
  <si>
    <t>CDM - AM0046</t>
  </si>
  <si>
    <t>CRU.climateLabels</t>
  </si>
  <si>
    <t>CDM - AM0048</t>
  </si>
  <si>
    <t>CRU.status</t>
  </si>
  <si>
    <t>CDM - AM0049</t>
  </si>
  <si>
    <t>CRU.referencedCredit</t>
  </si>
  <si>
    <t>CDM - AM0050</t>
  </si>
  <si>
    <t>CRU.appliedToId</t>
  </si>
  <si>
    <t>CDM - AM0052</t>
  </si>
  <si>
    <t>CRU.processedClaimId</t>
  </si>
  <si>
    <t>CDM - AM0053</t>
  </si>
  <si>
    <t>CRU.issuerId</t>
  </si>
  <si>
    <t>CDM - AM0055</t>
  </si>
  <si>
    <t>CRU.processedClaim</t>
  </si>
  <si>
    <t>CDM - AM0056</t>
  </si>
  <si>
    <t>CheckpointResult.id</t>
  </si>
  <si>
    <t>CDM - AM0057</t>
  </si>
  <si>
    <t>CheckpointResult.checkpointId</t>
  </si>
  <si>
    <t>CDM - AM0058</t>
  </si>
  <si>
    <t>CheckpointResult.linkToVerificationData</t>
  </si>
  <si>
    <t>CDM - AM0059</t>
  </si>
  <si>
    <t>CheckpointResult.dateRange</t>
  </si>
  <si>
    <t>CDM - AM0060</t>
  </si>
  <si>
    <t>CheckpointResult.efBefore</t>
  </si>
  <si>
    <t>CDM - AM0061</t>
  </si>
  <si>
    <t>CheckpointResult.efAfter</t>
  </si>
  <si>
    <t>CDM - AM0062</t>
  </si>
  <si>
    <t>CheckpointResult.mrvExtensions</t>
  </si>
  <si>
    <t>CDM - AM0063</t>
  </si>
  <si>
    <t>ClaimSource.id</t>
  </si>
  <si>
    <t>CDM - AM0064</t>
  </si>
  <si>
    <t>ClaimSource.aimId</t>
  </si>
  <si>
    <t>CDM - AM0065</t>
  </si>
  <si>
    <t>ClaimSource.name</t>
  </si>
  <si>
    <t>CDM - AM0066</t>
  </si>
  <si>
    <t>ClaimSource.description</t>
  </si>
  <si>
    <t>CDM - AM0067</t>
  </si>
  <si>
    <t>ClaimSource.location</t>
  </si>
  <si>
    <t>CDM - AM0068</t>
  </si>
  <si>
    <t>ClaimSource.sourceType</t>
  </si>
  <si>
    <t>CDM - AM0069</t>
  </si>
  <si>
    <t>ClaimSource.unitOfMeasure</t>
  </si>
  <si>
    <t>CDM - AM0070</t>
  </si>
  <si>
    <t>ClaimSource.sourceIdentifier</t>
  </si>
  <si>
    <t>CDM - AM0071</t>
  </si>
  <si>
    <t>ClaimSource.mrvExtensions</t>
  </si>
  <si>
    <t>CDM - AM0072</t>
  </si>
  <si>
    <t>ClimateLabel.id</t>
  </si>
  <si>
    <t>CDM - AM0073</t>
  </si>
  <si>
    <t>ClimateLabel.name</t>
  </si>
  <si>
    <t>CDM - AM0074</t>
  </si>
  <si>
    <t>ClimateLabel.description</t>
  </si>
  <si>
    <t>CDM - AM0075</t>
  </si>
  <si>
    <t>CDM - AM0076</t>
  </si>
  <si>
    <t>CoBenefit.description</t>
  </si>
  <si>
    <t>CDM - AM0077</t>
  </si>
  <si>
    <t>CoreCarbonPrinciples.assetId</t>
  </si>
  <si>
    <t>CDM - AM0078</t>
  </si>
  <si>
    <t>CoreCarbonPrinciples.issuanceDate</t>
  </si>
  <si>
    <t>CDM - AM0079</t>
  </si>
  <si>
    <t>CoreCarbonPrinciples.vintage</t>
  </si>
  <si>
    <t>CDM - AM0080</t>
  </si>
  <si>
    <t>CoreCarbonPrinciples.generationType</t>
  </si>
  <si>
    <t>CDM - AM0081</t>
  </si>
  <si>
    <t>CoreCarbonPrinciples.verificationStandard</t>
  </si>
  <si>
    <t>CDM - AM0082</t>
  </si>
  <si>
    <t>CoreCarbonPrinciples.mitigationActivity</t>
  </si>
  <si>
    <t>CDM - AM0083</t>
  </si>
  <si>
    <t>CoreCarbonPrinciples.durability</t>
  </si>
  <si>
    <t>CDM - AM0084</t>
  </si>
  <si>
    <t>CoreCarbonPrinciples.replacement</t>
  </si>
  <si>
    <t>CDM - AM0086</t>
  </si>
  <si>
    <t>CoreCarbonPrinciples.parisAgreementCompliance</t>
  </si>
  <si>
    <t>CDM - AM0088</t>
  </si>
  <si>
    <t>CoreCarbonPrinciples.quantifiedSdgImpacts</t>
  </si>
  <si>
    <t>CDM - AM0089</t>
  </si>
  <si>
    <t>CoreCarbonPrinciples.adaptationCoBenefits</t>
  </si>
  <si>
    <t>CDM - AM0090</t>
  </si>
  <si>
    <t>Credential.context</t>
  </si>
  <si>
    <t>CDM - AM0091</t>
  </si>
  <si>
    <t>Credential.id</t>
  </si>
  <si>
    <t>CDM - AM0092</t>
  </si>
  <si>
    <t>Credential.type</t>
  </si>
  <si>
    <t>CDM - AM0093</t>
  </si>
  <si>
    <t>Credential.issuer</t>
  </si>
  <si>
    <t>CDM - AM0094</t>
  </si>
  <si>
    <t>Credential.issuanceDate</t>
  </si>
  <si>
    <t>CDM - AM0095</t>
  </si>
  <si>
    <t>Credential.credentialSubject</t>
  </si>
  <si>
    <t>CDM - AM0096</t>
  </si>
  <si>
    <t>Credential.proof</t>
  </si>
  <si>
    <t>CDM - AM0097</t>
  </si>
  <si>
    <t>CredentialSubject.id</t>
  </si>
  <si>
    <t>CDM - AM0098</t>
  </si>
  <si>
    <t>CredentialSubject.property</t>
  </si>
  <si>
    <t>CDM - AM0099</t>
  </si>
  <si>
    <t>DataExtension.key</t>
  </si>
  <si>
    <t>CDM - AM0100</t>
  </si>
  <si>
    <t>DataExtension.value</t>
  </si>
  <si>
    <t>CDM - AM0101</t>
  </si>
  <si>
    <t>DataExtension.data</t>
  </si>
  <si>
    <t>CDM - AM0103</t>
  </si>
  <si>
    <t>Date.dateTime</t>
  </si>
  <si>
    <t>CDM - AM0104</t>
  </si>
  <si>
    <t>Date.dateString</t>
  </si>
  <si>
    <t>CDM - AM0105</t>
  </si>
  <si>
    <t>DatePoint.date</t>
  </si>
  <si>
    <t>CDM - AM0106</t>
  </si>
  <si>
    <t>DatePoint.timeStamp</t>
  </si>
  <si>
    <t>CDM - AM0107</t>
  </si>
  <si>
    <t>DateRange.startDate</t>
  </si>
  <si>
    <t>CDM - AM0108</t>
  </si>
  <si>
    <t>DateRange.endDate</t>
  </si>
  <si>
    <t>CDM - AM0109</t>
  </si>
  <si>
    <t>Degradable.percentage</t>
  </si>
  <si>
    <t>CDM - AM0110</t>
  </si>
  <si>
    <t>Degradable.factor</t>
  </si>
  <si>
    <t>CDM - AM0111</t>
  </si>
  <si>
    <t>Degradable.degradationType</t>
  </si>
  <si>
    <t>CDM - AM0112</t>
  </si>
  <si>
    <t>DigitalSignature.type</t>
  </si>
  <si>
    <t>CDM - AM0113</t>
  </si>
  <si>
    <t>DigitalSignature.jws</t>
  </si>
  <si>
    <t>CDM - AM0114</t>
  </si>
  <si>
    <t>DigitalSignature.vc</t>
  </si>
  <si>
    <t>CDM - AM0115</t>
  </si>
  <si>
    <t>DigitalSignature.signatureCase</t>
  </si>
  <si>
    <t>CDM - AM0116</t>
  </si>
  <si>
    <t>Durability.storageType</t>
  </si>
  <si>
    <t>CDM - AM0117</t>
  </si>
  <si>
    <t>Durability.years</t>
  </si>
  <si>
    <t>CDM - AM0118</t>
  </si>
  <si>
    <t>Durability.degradable</t>
  </si>
  <si>
    <t>CDM - AM0119</t>
  </si>
  <si>
    <t>Durability.reversalMitigation</t>
  </si>
  <si>
    <t>CDM - AM0120</t>
  </si>
  <si>
    <t>GeographicLocation.longitude</t>
  </si>
  <si>
    <t>CDM - AM0121</t>
  </si>
  <si>
    <t>GeographicLocation.latitude</t>
  </si>
  <si>
    <t>CDM - AM0122</t>
  </si>
  <si>
    <t>GeographicLocation.geoJsonOrKml</t>
  </si>
  <si>
    <t>GeographicLocation.geographicLocationFile</t>
  </si>
  <si>
    <t>CDM - AMS-I.B.</t>
  </si>
  <si>
    <t>ImpactClaim.id</t>
  </si>
  <si>
    <t>CDM - AMS-I.C.</t>
  </si>
  <si>
    <t>ImpactClaim.aimId</t>
  </si>
  <si>
    <t>CDM - AMS-I.D.</t>
  </si>
  <si>
    <t>ImpactClaim.processedClaimId</t>
  </si>
  <si>
    <t>CDM - AMS-I.E.</t>
  </si>
  <si>
    <t>ImpactClaim.unit</t>
  </si>
  <si>
    <t>CDM - AMS-I.F.</t>
  </si>
  <si>
    <t>CDM - AMS-I.G.</t>
  </si>
  <si>
    <t>ImpactClaim.coBenefits</t>
  </si>
  <si>
    <t>CDM - AMS-I.H.</t>
  </si>
  <si>
    <t>ImpactClaim.checkpoints</t>
  </si>
  <si>
    <t>CDM - AMS-I.I.</t>
  </si>
  <si>
    <t>ImpactClaim.mrvExtensions</t>
  </si>
  <si>
    <t>CDM - AMS-I.J.</t>
  </si>
  <si>
    <t>ImpactClaim.activityImpactModule</t>
  </si>
  <si>
    <t>CDM - AMS-I.K.</t>
  </si>
  <si>
    <t>ImpactClaimCheckpoint.id</t>
  </si>
  <si>
    <t>CDM - AMS-I.L.</t>
  </si>
  <si>
    <t>ImpactClaimCheckpoint.claimId</t>
  </si>
  <si>
    <t>CDM - AMS-I.M.</t>
  </si>
  <si>
    <t>ImpactClaimCheckpoint.claimSourceIds</t>
  </si>
  <si>
    <t>CDM - AMS-II.A.</t>
  </si>
  <si>
    <t>ImpactClaimCheckpoint.projectDeveloperId</t>
  </si>
  <si>
    <t>CDM - AMS-II.B.</t>
  </si>
  <si>
    <t>CDM - AMS-II.C.</t>
  </si>
  <si>
    <t>CDM - AMS-II.D.</t>
  </si>
  <si>
    <t>ImpactClaimCheckpoint.checkpointDateRange</t>
  </si>
  <si>
    <t>CDM - AMS-II.E.</t>
  </si>
  <si>
    <t>ImpactClaimCheckpoint.verifiedLinkToCheckpointData</t>
  </si>
  <si>
    <t>CDM - AMS-II.F.</t>
  </si>
  <si>
    <t>ImpactClaimCheckpoint.mrvExtensions</t>
  </si>
  <si>
    <t>CDM - AMS-II.G.</t>
  </si>
  <si>
    <t>ImpactClaimCheckpoint.spanDataPackage</t>
  </si>
  <si>
    <t>CDM - AMS-II.H.</t>
  </si>
  <si>
    <t>MRVRequirements.measurementSpecification</t>
  </si>
  <si>
    <t>CDM - AMS-II.I.</t>
  </si>
  <si>
    <t>MRVRequirements.specificationLink</t>
  </si>
  <si>
    <t>CDM - AMS-II.J.</t>
  </si>
  <si>
    <t>MRVRequirements.precision</t>
  </si>
  <si>
    <t>CDM - AMS-II.K.</t>
  </si>
  <si>
    <t>MRVRequirements.claimPeriod</t>
  </si>
  <si>
    <t>CDM - AMS-II.L.</t>
  </si>
  <si>
    <t>Manifest.id</t>
  </si>
  <si>
    <t>CDM - AMS-II.M.</t>
  </si>
  <si>
    <t>Manifest.version</t>
  </si>
  <si>
    <t>CDM - AMS-II.N.</t>
  </si>
  <si>
    <t>Manifest.aimId</t>
  </si>
  <si>
    <t>CDM - AMS-II.O.</t>
  </si>
  <si>
    <t>Manifest.claimId</t>
  </si>
  <si>
    <t>CDM - AMS-II.P.</t>
  </si>
  <si>
    <t>Manifest.projectDeveloperId</t>
  </si>
  <si>
    <t>CDM - AMS-II.Q.</t>
  </si>
  <si>
    <t>Manifest.created</t>
  </si>
  <si>
    <t>CDM - AMS-II.R.</t>
  </si>
  <si>
    <t>Manifest.mrvExtensions</t>
  </si>
  <si>
    <t>CDM - AMS-II.S.</t>
  </si>
  <si>
    <t>Manifest.sdpFiles</t>
  </si>
  <si>
    <t>CDM - AMS-II.T.</t>
  </si>
  <si>
    <t>MitigationActivity.category</t>
  </si>
  <si>
    <t>CDM - AMS-III.A.</t>
  </si>
  <si>
    <t>MitigationActivity.method</t>
  </si>
  <si>
    <t>CDM - AMS-III.B.</t>
  </si>
  <si>
    <t>MrvExtension.mrvExtensionContext</t>
  </si>
  <si>
    <t>CDM - AMS-III.C.</t>
  </si>
  <si>
    <t>MrvExtension.typedExtension</t>
  </si>
  <si>
    <t>CDM - AMS-III.D.</t>
  </si>
  <si>
    <t>MrvExtension.untypedExtension</t>
  </si>
  <si>
    <t>CDM - AMS-III.E.</t>
  </si>
  <si>
    <t>MrvExtension.extensionCase</t>
  </si>
  <si>
    <t>CDM - AMS-III.F.</t>
  </si>
  <si>
    <t>PACompliance.ca</t>
  </si>
  <si>
    <t>CDM - AMS-III.G.</t>
  </si>
  <si>
    <t>PACompliance.letterOfApproval</t>
  </si>
  <si>
    <t>CDM - AMS-III.H.</t>
  </si>
  <si>
    <t>PrecisionMix.low</t>
  </si>
  <si>
    <t>CDM - AMS-III.I.</t>
  </si>
  <si>
    <t>PrecisionMix.medium</t>
  </si>
  <si>
    <t>CDM - AMS-III.J.</t>
  </si>
  <si>
    <t>PrecisionMix.high</t>
  </si>
  <si>
    <t>CDM - AMS-III.K.</t>
  </si>
  <si>
    <t>ProcessedClaim.id</t>
  </si>
  <si>
    <t>CDM - AMS-III.L.</t>
  </si>
  <si>
    <t>ProcessedClaim.vpaId</t>
  </si>
  <si>
    <t>CDM - AMS-III.M.</t>
  </si>
  <si>
    <t>ProcessedClaim.impactClaimId</t>
  </si>
  <si>
    <t>CDM - AMS-III.N.</t>
  </si>
  <si>
    <t>ProcessedClaim.creditId</t>
  </si>
  <si>
    <t>CDM - AMS-III.O.</t>
  </si>
  <si>
    <t>ProcessedClaim.unit</t>
  </si>
  <si>
    <t>CDM - AMS-III.P.</t>
  </si>
  <si>
    <t>ProcessedClaim.quantity</t>
  </si>
  <si>
    <t>CDM - AMS-III.Q.</t>
  </si>
  <si>
    <t>ProcessedClaim.coBenefits</t>
  </si>
  <si>
    <t>CDM - AMS-III.R.</t>
  </si>
  <si>
    <t>ProcessedClaim.mrvExtensions</t>
  </si>
  <si>
    <t>CDM - AMS-III.S.</t>
  </si>
  <si>
    <t>ProcessedClaim.checkpointResults</t>
  </si>
  <si>
    <t>CDM - AMS-III.T.</t>
  </si>
  <si>
    <t>ProcessedClaim.issuanceRequest</t>
  </si>
  <si>
    <t>CDM - AMS-III.U.</t>
  </si>
  <si>
    <t>ProcessedClaim.verificationProcessAgreement</t>
  </si>
  <si>
    <t>CDM - AMS-III.V.</t>
  </si>
  <si>
    <t>ProcessedClaim.impactClaim</t>
  </si>
  <si>
    <t>CDM - AMS-III.W.</t>
  </si>
  <si>
    <t>ProcessedClaim.asset</t>
  </si>
  <si>
    <t>CDM - AMS-III.X.</t>
  </si>
  <si>
    <t>Proof.type</t>
  </si>
  <si>
    <t>CDM - AMS-III.Y.</t>
  </si>
  <si>
    <t>Proof.created</t>
  </si>
  <si>
    <t>CDM - AMS-III.Z.</t>
  </si>
  <si>
    <t>Proof.proofPurpose</t>
  </si>
  <si>
    <t>CDM - AMS-III.AA.</t>
  </si>
  <si>
    <t>Proof.verificationMethod</t>
  </si>
  <si>
    <t>CDM - AMS-III.AB.</t>
  </si>
  <si>
    <t>Proof.challenge</t>
  </si>
  <si>
    <t>CDM - AMS-III.AC.</t>
  </si>
  <si>
    <t>Proof.domain</t>
  </si>
  <si>
    <t>CDM - AMS-III.AD.</t>
  </si>
  <si>
    <t>Proof.jws</t>
  </si>
  <si>
    <t>CDM - AMS-III.AE.</t>
  </si>
  <si>
    <t>QualityStandard.name</t>
  </si>
  <si>
    <t>CDM - AMS-III.AF.</t>
  </si>
  <si>
    <t>QualityStandard.description</t>
  </si>
  <si>
    <t>CDM - AMS-III.AG.</t>
  </si>
  <si>
    <t>QualityStandard.standard</t>
  </si>
  <si>
    <t>CDM - AMS-III.AH.</t>
  </si>
  <si>
    <t>CDM - AMS-III.AI.</t>
  </si>
  <si>
    <t>QualityStandard.version</t>
  </si>
  <si>
    <t>CDM - AMS-III.AJ.</t>
  </si>
  <si>
    <t>QualityStandard.coBenefits</t>
  </si>
  <si>
    <t>CDM - AMS-III.AK.</t>
  </si>
  <si>
    <t>QualityStandard.standardLink</t>
  </si>
  <si>
    <t>CDM - AMS-III.AL.</t>
  </si>
  <si>
    <t>REC.id</t>
  </si>
  <si>
    <t>CDM - AMS-III.AM.</t>
  </si>
  <si>
    <t>REC.recType</t>
  </si>
  <si>
    <t>CDM - AMS-III.AN.</t>
  </si>
  <si>
    <t>REC.validJurisdiction</t>
  </si>
  <si>
    <t>CDM - AMS-III.AO.</t>
  </si>
  <si>
    <t>REC.quantity</t>
  </si>
  <si>
    <t>CDM - AMS-III.AP.</t>
  </si>
  <si>
    <t>REC.unit</t>
  </si>
  <si>
    <t>CDM - AMS-III.AQ.</t>
  </si>
  <si>
    <t>REC.ownerId</t>
  </si>
  <si>
    <t>CDM - AMS-III.AR.</t>
  </si>
  <si>
    <t>REC.listingAgentId</t>
  </si>
  <si>
    <t>CDM - AMS-III.AS.</t>
  </si>
  <si>
    <t>REC.climateLabels</t>
  </si>
  <si>
    <t>CDM - AMS-III.AT.</t>
  </si>
  <si>
    <t>REC.status</t>
  </si>
  <si>
    <t>CDM - AMS-III.AU.</t>
  </si>
  <si>
    <t>REC.referencedRec</t>
  </si>
  <si>
    <t>CDM - AMS-III.AV.</t>
  </si>
  <si>
    <t>REC.appliedToId</t>
  </si>
  <si>
    <t>CDM - AMS-III.AW.</t>
  </si>
  <si>
    <t>REC.processedClaimId</t>
  </si>
  <si>
    <t>CDM - AMS-III.AX.</t>
  </si>
  <si>
    <t>REC.issuerId</t>
  </si>
  <si>
    <t>CDM - AMS-III.AY.</t>
  </si>
  <si>
    <t>REC.processedClaim</t>
  </si>
  <si>
    <t>CDM - AMS-III.BA.</t>
  </si>
  <si>
    <t>ReferencedCredit.id</t>
  </si>
  <si>
    <t>CDM - AMS-III.BB.</t>
  </si>
  <si>
    <t>ReferencedRec.id</t>
  </si>
  <si>
    <t>CDM - AMS-III.BC.</t>
  </si>
  <si>
    <t>Replacement.replacesId</t>
  </si>
  <si>
    <t>CDM - AMS-III.BD.</t>
  </si>
  <si>
    <t>Replacement.replacementDate</t>
  </si>
  <si>
    <t>CDM - AMS-III.BE.</t>
  </si>
  <si>
    <t>Replacement.notes</t>
  </si>
  <si>
    <t>CDM - AMS-III.BF.</t>
  </si>
  <si>
    <t>ReversalMitigation.reversalRisk</t>
  </si>
  <si>
    <t>CDM - AMS-III.BG.</t>
  </si>
  <si>
    <t>ReversalMitigation.insuranceType</t>
  </si>
  <si>
    <t>CDM - AMS-III.BH.</t>
  </si>
  <si>
    <t>ReversalMitigation.insurancePolicyOwner</t>
  </si>
  <si>
    <t>CDM - AMS-III.BI.</t>
  </si>
  <si>
    <t>ReversalMitigation.insurancePolicyLink</t>
  </si>
  <si>
    <t>CDM - AMS-III.BJ.</t>
  </si>
  <si>
    <t>SdpFile.name</t>
  </si>
  <si>
    <t>CDM - AMS-III.BK.</t>
  </si>
  <si>
    <t>SdpFile.type</t>
  </si>
  <si>
    <t>CDM - AMS-III.BL.</t>
  </si>
  <si>
    <t>SdpFile.description</t>
  </si>
  <si>
    <t>CDM - AMS-III.BM.</t>
  </si>
  <si>
    <t>SdpFile.claimSourceId</t>
  </si>
  <si>
    <t>CDM - AMS-III.BN.</t>
  </si>
  <si>
    <t>SdpFile.claimSourceAttestation</t>
  </si>
  <si>
    <t>CDM - AMS-III.BO.</t>
  </si>
  <si>
    <t>SdpFile.mrvExtensions</t>
  </si>
  <si>
    <t>CDM - AMS-III.BP.</t>
  </si>
  <si>
    <t>Signatory.id</t>
  </si>
  <si>
    <t>CDM - AR-AM0014</t>
  </si>
  <si>
    <t>Signatory.name</t>
  </si>
  <si>
    <t xml:space="preserve">CDM - AR-AMS0003 </t>
  </si>
  <si>
    <t>Signatory.description</t>
  </si>
  <si>
    <t>CDM - AR-AMS0007</t>
  </si>
  <si>
    <t>Signatory.signatoryRole</t>
  </si>
  <si>
    <t>CDM - ACM0001</t>
  </si>
  <si>
    <t>Signatory.signature</t>
  </si>
  <si>
    <t>CDM - ACM0002</t>
  </si>
  <si>
    <t>SpanDataPackage.manifest</t>
  </si>
  <si>
    <t>CDM - ACM0003</t>
  </si>
  <si>
    <t>Tag.name</t>
  </si>
  <si>
    <t>CDM - ACM0004</t>
  </si>
  <si>
    <t>Tag.context</t>
  </si>
  <si>
    <t>CDM - ACM0005</t>
  </si>
  <si>
    <t>Tag.description</t>
  </si>
  <si>
    <t>CDM - ACM0006</t>
  </si>
  <si>
    <t>Tag.data</t>
  </si>
  <si>
    <t>CDM - ACM0007</t>
  </si>
  <si>
    <t>Timestamp.seconds</t>
  </si>
  <si>
    <t>CDM - ACM0008</t>
  </si>
  <si>
    <t>Timestamp.nanos</t>
  </si>
  <si>
    <t>CDM - ACM0009</t>
  </si>
  <si>
    <t>TypedExtension.dataSchema</t>
  </si>
  <si>
    <t>CDM - ACM0010</t>
  </si>
  <si>
    <t>TypedExtension.documentation</t>
  </si>
  <si>
    <t>CDM - ACM0011</t>
  </si>
  <si>
    <t>TypedExtension.data</t>
  </si>
  <si>
    <t>CDM - ACM0012</t>
  </si>
  <si>
    <t>UntypedExtension.name</t>
  </si>
  <si>
    <t>CDM - ACM0013</t>
  </si>
  <si>
    <t>UntypedExtension.version</t>
  </si>
  <si>
    <t>CDM - ACM0014</t>
  </si>
  <si>
    <t>UntypedExtension.description</t>
  </si>
  <si>
    <t>CDM - ACM0015</t>
  </si>
  <si>
    <t>UntypedExtension.documentation</t>
  </si>
  <si>
    <t>CDM - ACM0016</t>
  </si>
  <si>
    <t>UntypedExtension.dataExtensions</t>
  </si>
  <si>
    <t>CDM - ACM0017</t>
  </si>
  <si>
    <t>Validation.validationDate</t>
  </si>
  <si>
    <t>CDM - ACM0018</t>
  </si>
  <si>
    <t>Validation.validatingPartyId</t>
  </si>
  <si>
    <t>CDM - ACM0019</t>
  </si>
  <si>
    <t>Validation.validationMethod</t>
  </si>
  <si>
    <t>CDM - ACM0020</t>
  </si>
  <si>
    <t>Validation.validationExpirationDate</t>
  </si>
  <si>
    <t>CDM - ACM0021</t>
  </si>
  <si>
    <t>Validation.validationSteps</t>
  </si>
  <si>
    <t>CDM - ACM0022</t>
  </si>
  <si>
    <t>ValidationStep.validationStepName</t>
  </si>
  <si>
    <t>CDM - ACM0023</t>
  </si>
  <si>
    <t>ValidationStep.validationStepDescription</t>
  </si>
  <si>
    <t>CDM - ACM0024</t>
  </si>
  <si>
    <t>ValidationStep.validationStepStatus</t>
  </si>
  <si>
    <t>CDM - ACM0025</t>
  </si>
  <si>
    <t>ValidationStep.validationStepDocumentLink</t>
  </si>
  <si>
    <t>CDM - ACM0026</t>
  </si>
  <si>
    <t>VerificationProcessAgreement.id</t>
  </si>
  <si>
    <t>CDM - TOOL 1</t>
  </si>
  <si>
    <t>VerificationProcessAgreement.name</t>
  </si>
  <si>
    <t>CDM - TOOL 2</t>
  </si>
  <si>
    <t>VerificationProcessAgreement.description</t>
  </si>
  <si>
    <t>CDM - TOOL 3</t>
  </si>
  <si>
    <t>VerificationProcessAgreement.signatories</t>
  </si>
  <si>
    <t>CDM - TOOL 4</t>
  </si>
  <si>
    <t>VerificationProcessAgreement.qualityStandard</t>
  </si>
  <si>
    <t>CDM - TOOL 5</t>
  </si>
  <si>
    <t>VerificationProcessAgreement.mrvRequirements</t>
  </si>
  <si>
    <t>CDM - TOOL 6</t>
  </si>
  <si>
    <t>VerificationProcessAgreement.agreementDate</t>
  </si>
  <si>
    <t>CDM - TOOL 7</t>
  </si>
  <si>
    <t>VerificationProcessAgreement.estimatedAnnualCredits</t>
  </si>
  <si>
    <t>CDM - TOOL 8</t>
  </si>
  <si>
    <t>VerificationProcessAgreement.aimId</t>
  </si>
  <si>
    <t>CDM - TOOL 9</t>
  </si>
  <si>
    <t>VerificationProcessAgreement.auditSchedule</t>
  </si>
  <si>
    <t>CDM - TOOL 10</t>
  </si>
  <si>
    <t>VerificationProcessAgreement.audits</t>
  </si>
  <si>
    <t>CDM - TOOL 11</t>
  </si>
  <si>
    <t>VerificationProcessAgreement.activityImpactModule</t>
  </si>
  <si>
    <t>CDM - TOOL 12</t>
  </si>
  <si>
    <t>VerificationProcessAgreement.processedClaims</t>
  </si>
  <si>
    <t>CDM - TOOL 13</t>
  </si>
  <si>
    <t>VerifiedLink.id</t>
  </si>
  <si>
    <t>CDM - TOOL 14</t>
  </si>
  <si>
    <t>VerifiedLink.uri</t>
  </si>
  <si>
    <t>CDM - TOOL 15</t>
  </si>
  <si>
    <t>VerifiedLink.description</t>
  </si>
  <si>
    <t>CDM - TOOL 16</t>
  </si>
  <si>
    <t>VerifiedLink.hashProof</t>
  </si>
  <si>
    <t>CDM - TOOL 17</t>
  </si>
  <si>
    <t>VerifiedLink.hashAlgorithm</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</si>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</sst>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_);_(* \(#,##0\);_(* &quot;-&quot;??_);_(@_)"/>
  </numFmts>
  <fonts count="43">
    <font>
      <sz val="12"/>
      <color theme="1"/>
      <name val="Calibri"/>
      <family val="2"/>
      <scheme val="minor"/>
    </font>
    <font>
      <sz val="11"/>
      <color theme="1"/>
      <name val="Calibri"/>
      <family val="2"/>
      <scheme val="minor"/>
    </font>
    <font>
      <b/>
      <sz val="14"/>
      <color theme="1"/>
      <name val="Calibri"/>
      <family val="2"/>
      <scheme val="minor"/>
    </font>
    <font>
      <sz val="14"/>
      <color theme="1"/>
      <name val="Calibri"/>
      <family val="2"/>
      <scheme val="minor"/>
    </font>
    <font>
      <i/>
      <sz val="11"/>
      <color theme="1"/>
      <name val="Calibri"/>
      <family val="2"/>
      <scheme val="minor"/>
    </font>
    <font>
      <i/>
      <vertAlign val="subscript"/>
      <sz val="11"/>
      <color theme="1"/>
      <name val="Calibri (Body)"/>
    </font>
    <font>
      <sz val="8"/>
      <name val="Calibri"/>
      <family val="2"/>
      <scheme val="minor"/>
    </font>
    <font>
      <b/>
      <sz val="12"/>
      <color theme="1"/>
      <name val="Calibri"/>
      <family val="2"/>
      <scheme val="minor"/>
    </font>
    <font>
      <b/>
      <sz val="14"/>
      <color rgb="FF000000"/>
      <name val="Calibri"/>
      <family val="2"/>
      <scheme val="minor"/>
    </font>
    <font>
      <sz val="11"/>
      <color rgb="FF000000"/>
      <name val="Calibri"/>
      <family val="2"/>
    </font>
    <font>
      <b/>
      <sz val="11"/>
      <color rgb="FF000000"/>
      <name val="Calibri"/>
      <family val="2"/>
    </font>
    <font>
      <sz val="14"/>
      <color rgb="FF000000"/>
      <name val="Calibri"/>
      <family val="2"/>
      <scheme val="minor"/>
    </font>
    <font>
      <sz val="11"/>
      <color rgb="FF000000"/>
      <name val="Calibri"/>
      <family val="2"/>
      <scheme val="minor"/>
    </font>
    <font>
      <b/>
      <sz val="11"/>
      <color rgb="FF000000"/>
      <name val="Calibri"/>
      <family val="2"/>
      <scheme val="minor"/>
    </font>
    <font>
      <b/>
      <sz val="11"/>
      <color theme="1"/>
      <name val="Calibri"/>
      <family val="2"/>
      <scheme val="minor"/>
    </font>
    <font>
      <sz val="11"/>
      <color rgb="FFFF0000"/>
      <name val="Calibri"/>
      <family val="2"/>
      <scheme val="minor"/>
    </font>
    <font>
      <sz val="12"/>
      <color theme="1"/>
      <name val="Calibri"/>
      <family val="2"/>
      <scheme val="minor"/>
    </font>
    <font>
      <vertAlign val="subscript"/>
      <sz val="11"/>
      <color theme="1"/>
      <name val="Calibri (Body)"/>
    </font>
    <font>
      <b/>
      <sz val="16"/>
      <color rgb="FF000000"/>
      <name val="Calibri"/>
      <family val="2"/>
      <scheme val="minor"/>
    </font>
    <font>
      <sz val="12"/>
      <color rgb="FF000000"/>
      <name val="Calibri"/>
      <family val="2"/>
      <scheme val="minor"/>
    </font>
    <font>
      <sz val="18"/>
      <color theme="1"/>
      <name val="Calibri"/>
      <family val="2"/>
      <scheme val="minor"/>
    </font>
    <font>
      <vertAlign val="subscript"/>
      <sz val="18"/>
      <color theme="1"/>
      <name val="Calibri"/>
      <family val="2"/>
      <scheme val="minor"/>
    </font>
    <font>
      <b/>
      <u/>
      <sz val="16"/>
      <color rgb="FF000000"/>
      <name val="Calibri"/>
      <family val="2"/>
      <scheme val="minor"/>
    </font>
    <font>
      <i/>
      <sz val="18"/>
      <color theme="1"/>
      <name val="Calibri"/>
      <family val="2"/>
      <scheme val="minor"/>
    </font>
    <font>
      <i/>
      <vertAlign val="subscript"/>
      <sz val="18"/>
      <color theme="1"/>
      <name val="Calibri"/>
      <family val="2"/>
      <scheme val="minor"/>
    </font>
    <font>
      <i/>
      <sz val="12"/>
      <color theme="1"/>
      <name val="Calibri"/>
      <family val="2"/>
      <scheme val="minor"/>
    </font>
    <font>
      <vertAlign val="superscript"/>
      <sz val="12"/>
      <color theme="1"/>
      <name val="Calibri"/>
      <family val="2"/>
      <scheme val="minor"/>
    </font>
    <font>
      <sz val="20"/>
      <color theme="1"/>
      <name val="Calibri"/>
      <family val="2"/>
      <scheme val="minor"/>
    </font>
    <font>
      <sz val="11"/>
      <name val="Calibri"/>
      <family val="2"/>
      <scheme val="minor"/>
    </font>
    <font>
      <b/>
      <i/>
      <sz val="11"/>
      <color theme="1"/>
      <name val="Calibri"/>
      <family val="2"/>
      <scheme val="minor"/>
    </font>
    <font>
      <b/>
      <i/>
      <sz val="14"/>
      <color theme="1"/>
      <name val="Calibri"/>
      <family val="2"/>
      <scheme val="minor"/>
    </font>
    <font>
      <b/>
      <u/>
      <sz val="11"/>
      <color rgb="FF000000"/>
      <name val="Calibri"/>
      <family val="2"/>
      <scheme val="minor"/>
    </font>
    <font>
      <i/>
      <sz val="16"/>
      <color rgb="FF000000"/>
      <name val="Calibri"/>
      <family val="2"/>
      <scheme val="minor"/>
    </font>
    <font>
      <vertAlign val="superscript"/>
      <sz val="11"/>
      <color theme="1"/>
      <name val="Calibri"/>
      <family val="2"/>
      <scheme val="minor"/>
    </font>
    <font>
      <u/>
      <sz val="11"/>
      <color theme="1"/>
      <name val="Calibri"/>
      <family val="2"/>
      <scheme val="minor"/>
    </font>
    <font>
      <b/>
      <sz val="12"/>
      <color rgb="FF000000"/>
      <name val="Calibri"/>
      <family val="2"/>
      <scheme val="minor"/>
    </font>
    <font>
      <vertAlign val="subscript"/>
      <sz val="20"/>
      <color theme="1"/>
      <name val="Calibri"/>
      <family val="2"/>
      <scheme val="minor"/>
    </font>
    <font>
      <b/>
      <u/>
      <sz val="11"/>
      <color theme="1"/>
      <name val="Calibri"/>
      <family val="2"/>
      <scheme val="minor"/>
    </font>
    <font>
      <sz val="18"/>
      <color rgb="FF000000"/>
      <name val="Calibri"/>
      <family val="2"/>
    </font>
    <font>
      <vertAlign val="subscript"/>
      <sz val="18"/>
      <color rgb="FF000000"/>
      <name val="Calibri"/>
      <family val="2"/>
    </font>
    <font>
      <sz val="11"/>
      <color theme="1"/>
      <name val="Calibri"/>
      <family val="2"/>
    </font>
    <font>
      <u/>
      <sz val="11"/>
      <color theme="10"/>
      <name val="Calibri"/>
      <family val="2"/>
      <scheme val="minor"/>
    </font>
    <font>
      <u/>
      <sz val="11"/>
      <color rgb="FF0563C1"/>
      <name val="Calibri"/>
      <family val="2"/>
    </font>
  </fonts>
  <fills count="12">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theme="9" tint="0.59999389629810485"/>
        <bgColor indexed="64"/>
      </patternFill>
    </fill>
    <fill>
      <patternFill patternType="solid">
        <fgColor theme="0" tint="-0.249977111117893"/>
        <bgColor rgb="FF000000"/>
      </patternFill>
    </fill>
    <fill>
      <patternFill patternType="solid">
        <fgColor theme="9" tint="0.79998168889431442"/>
        <bgColor indexed="64"/>
      </patternFill>
    </fill>
    <fill>
      <patternFill patternType="solid">
        <fgColor rgb="FFBFBFBF"/>
        <bgColor rgb="FF000000"/>
      </patternFill>
    </fill>
    <fill>
      <patternFill patternType="solid">
        <fgColor theme="0" tint="-0.34998626667073579"/>
        <bgColor indexed="64"/>
      </patternFill>
    </fill>
    <fill>
      <patternFill patternType="solid">
        <fgColor rgb="FF00B050"/>
        <bgColor indexed="64"/>
      </patternFill>
    </fill>
    <fill>
      <patternFill patternType="solid">
        <fgColor theme="0" tint="-0.14999847407452621"/>
        <bgColor rgb="FF000000"/>
      </patternFill>
    </fill>
    <fill>
      <patternFill patternType="solid">
        <fgColor theme="2" tint="-9.9978637043366805E-2"/>
        <bgColor indexed="64"/>
      </patternFill>
    </fill>
  </fills>
  <borders count="56">
    <border>
      <left/>
      <right/>
      <top/>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top style="thick">
        <color auto="1"/>
      </top>
      <bottom style="thick">
        <color auto="1"/>
      </bottom>
      <diagonal/>
    </border>
    <border>
      <left/>
      <right/>
      <top style="thick">
        <color auto="1"/>
      </top>
      <bottom/>
      <diagonal/>
    </border>
    <border>
      <left/>
      <right/>
      <top/>
      <bottom style="thick">
        <color auto="1"/>
      </bottom>
      <diagonal/>
    </border>
    <border>
      <left/>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41" fillId="0" borderId="0" applyNumberFormat="0" applyFill="0" applyBorder="0" applyAlignment="0" applyProtection="0"/>
  </cellStyleXfs>
  <cellXfs count="254">
    <xf numFmtId="0" fontId="0" fillId="0" borderId="0" xfId="0"/>
    <xf numFmtId="0" fontId="2" fillId="0" borderId="0" xfId="1" applyFont="1"/>
    <xf numFmtId="0" fontId="2" fillId="0" borderId="0" xfId="1" applyFont="1" applyAlignment="1">
      <alignment horizontal="left"/>
    </xf>
    <xf numFmtId="0" fontId="2" fillId="0" borderId="0" xfId="1" applyFont="1" applyAlignment="1">
      <alignment horizontal="center"/>
    </xf>
    <xf numFmtId="0" fontId="2" fillId="2" borderId="0" xfId="1" applyFont="1" applyFill="1" applyAlignment="1">
      <alignment horizontal="left"/>
    </xf>
    <xf numFmtId="0" fontId="3" fillId="2" borderId="0" xfId="1" applyFont="1" applyFill="1" applyAlignment="1">
      <alignment horizontal="left"/>
    </xf>
    <xf numFmtId="0" fontId="1" fillId="2" borderId="0" xfId="1" applyFill="1"/>
    <xf numFmtId="0" fontId="1" fillId="0" borderId="0" xfId="1"/>
    <xf numFmtId="0" fontId="1" fillId="0" borderId="0" xfId="1" applyAlignment="1">
      <alignment wrapText="1"/>
    </xf>
    <xf numFmtId="0" fontId="1" fillId="0" borderId="0" xfId="1" applyAlignment="1">
      <alignment horizontal="left"/>
    </xf>
    <xf numFmtId="0" fontId="1" fillId="3" borderId="0" xfId="1" applyFill="1"/>
    <xf numFmtId="0" fontId="4" fillId="3" borderId="0" xfId="1" applyFont="1" applyFill="1"/>
    <xf numFmtId="0" fontId="1" fillId="3" borderId="0" xfId="1" applyFill="1" applyAlignment="1">
      <alignment wrapText="1"/>
    </xf>
    <xf numFmtId="0" fontId="1" fillId="3" borderId="0" xfId="1" applyFill="1" applyAlignment="1">
      <alignment horizontal="left" wrapText="1"/>
    </xf>
    <xf numFmtId="0" fontId="1" fillId="4" borderId="0" xfId="1" applyFill="1"/>
    <xf numFmtId="0" fontId="1" fillId="4" borderId="0" xfId="1" applyFill="1" applyAlignment="1">
      <alignment wrapText="1"/>
    </xf>
    <xf numFmtId="0" fontId="1" fillId="4" borderId="0" xfId="1" applyFill="1" applyAlignment="1">
      <alignment horizontal="left" wrapText="1"/>
    </xf>
    <xf numFmtId="0" fontId="1" fillId="3" borderId="0" xfId="1" applyFill="1" applyAlignment="1">
      <alignment horizontal="left"/>
    </xf>
    <xf numFmtId="0" fontId="4" fillId="0" borderId="0" xfId="1" applyFont="1"/>
    <xf numFmtId="0" fontId="1" fillId="0" borderId="0" xfId="1" applyAlignment="1">
      <alignment horizontal="left" wrapText="1"/>
    </xf>
    <xf numFmtId="0" fontId="8" fillId="0" borderId="0" xfId="1" applyFont="1" applyAlignment="1">
      <alignment horizontal="center"/>
    </xf>
    <xf numFmtId="0" fontId="1" fillId="0" borderId="1" xfId="1" applyBorder="1" applyAlignment="1">
      <alignment horizontal="center" vertical="center"/>
    </xf>
    <xf numFmtId="0" fontId="1" fillId="0" borderId="1" xfId="1" applyBorder="1" applyAlignment="1">
      <alignment horizontal="center" vertical="center" wrapText="1"/>
    </xf>
    <xf numFmtId="0" fontId="1" fillId="0" borderId="2" xfId="1" applyBorder="1" applyAlignment="1">
      <alignment horizontal="center" vertical="center" wrapText="1"/>
    </xf>
    <xf numFmtId="0" fontId="1" fillId="0" borderId="3" xfId="1" applyBorder="1"/>
    <xf numFmtId="0" fontId="1" fillId="0" borderId="7" xfId="1" applyBorder="1"/>
    <xf numFmtId="9" fontId="1" fillId="0" borderId="1" xfId="1" applyNumberFormat="1" applyBorder="1" applyAlignment="1">
      <alignment horizontal="center" vertical="center"/>
    </xf>
    <xf numFmtId="9" fontId="1" fillId="0" borderId="2" xfId="1" applyNumberFormat="1" applyBorder="1" applyAlignment="1">
      <alignment horizontal="center" vertical="center"/>
    </xf>
    <xf numFmtId="9" fontId="1" fillId="0" borderId="8" xfId="1" applyNumberFormat="1" applyBorder="1" applyAlignment="1">
      <alignment horizontal="center" vertical="center" wrapText="1"/>
    </xf>
    <xf numFmtId="0" fontId="1" fillId="0" borderId="9" xfId="1" applyBorder="1"/>
    <xf numFmtId="0" fontId="1" fillId="0" borderId="10" xfId="1" applyBorder="1" applyAlignment="1">
      <alignment horizontal="center" vertical="center"/>
    </xf>
    <xf numFmtId="0" fontId="1" fillId="0" borderId="11" xfId="1" applyBorder="1" applyAlignment="1">
      <alignment horizontal="center" vertical="center"/>
    </xf>
    <xf numFmtId="0" fontId="1" fillId="0" borderId="12" xfId="1" applyBorder="1" applyAlignment="1">
      <alignment horizontal="center" vertical="center" wrapText="1"/>
    </xf>
    <xf numFmtId="0" fontId="1" fillId="0" borderId="13" xfId="1" applyBorder="1"/>
    <xf numFmtId="0" fontId="1" fillId="0" borderId="13" xfId="1" applyBorder="1" applyAlignment="1">
      <alignment horizontal="center" vertical="center"/>
    </xf>
    <xf numFmtId="0" fontId="1" fillId="0" borderId="14" xfId="1" applyBorder="1" applyAlignment="1">
      <alignment horizontal="center" vertical="center"/>
    </xf>
    <xf numFmtId="0" fontId="1" fillId="0" borderId="15" xfId="1" applyBorder="1" applyAlignment="1">
      <alignment horizontal="center" vertical="center" wrapText="1"/>
    </xf>
    <xf numFmtId="0" fontId="1" fillId="0" borderId="16" xfId="1" applyBorder="1"/>
    <xf numFmtId="0" fontId="1" fillId="0" borderId="16" xfId="1" applyBorder="1" applyAlignment="1">
      <alignment horizontal="center" vertical="center"/>
    </xf>
    <xf numFmtId="0" fontId="1" fillId="0" borderId="17" xfId="1" applyBorder="1" applyAlignment="1">
      <alignment horizontal="center" vertical="center"/>
    </xf>
    <xf numFmtId="0" fontId="1" fillId="0" borderId="18" xfId="1" applyBorder="1" applyAlignment="1">
      <alignment horizontal="center" vertical="center" wrapText="1"/>
    </xf>
    <xf numFmtId="0" fontId="9" fillId="0" borderId="0" xfId="1" applyFont="1" applyAlignment="1">
      <alignment wrapText="1"/>
    </xf>
    <xf numFmtId="0" fontId="1" fillId="0" borderId="0" xfId="1" applyAlignment="1">
      <alignment horizontal="right"/>
    </xf>
    <xf numFmtId="0" fontId="7" fillId="0" borderId="19" xfId="1" applyFont="1" applyBorder="1" applyAlignment="1">
      <alignment horizontal="center"/>
    </xf>
    <xf numFmtId="0" fontId="7" fillId="0" borderId="21" xfId="1" applyFont="1" applyBorder="1" applyAlignment="1">
      <alignment horizontal="center"/>
    </xf>
    <xf numFmtId="0" fontId="1" fillId="0" borderId="22" xfId="1" applyBorder="1"/>
    <xf numFmtId="0" fontId="1" fillId="0" borderId="23" xfId="1" applyBorder="1"/>
    <xf numFmtId="0" fontId="1" fillId="0" borderId="24" xfId="1" applyBorder="1"/>
    <xf numFmtId="0" fontId="1" fillId="0" borderId="25" xfId="1" applyBorder="1"/>
    <xf numFmtId="0" fontId="1" fillId="0" borderId="24" xfId="1" applyBorder="1" applyAlignment="1">
      <alignment wrapText="1"/>
    </xf>
    <xf numFmtId="0" fontId="1" fillId="0" borderId="26" xfId="1" applyBorder="1"/>
    <xf numFmtId="0" fontId="1" fillId="0" borderId="27" xfId="1" applyBorder="1"/>
    <xf numFmtId="0" fontId="8" fillId="0" borderId="0" xfId="1" applyFont="1"/>
    <xf numFmtId="0" fontId="8" fillId="0" borderId="0" xfId="1" applyFont="1" applyAlignment="1">
      <alignment horizontal="left"/>
    </xf>
    <xf numFmtId="0" fontId="8" fillId="5" borderId="0" xfId="1" applyFont="1" applyFill="1" applyAlignment="1">
      <alignment horizontal="left"/>
    </xf>
    <xf numFmtId="0" fontId="11" fillId="5" borderId="0" xfId="1" applyFont="1" applyFill="1" applyAlignment="1">
      <alignment horizontal="left"/>
    </xf>
    <xf numFmtId="0" fontId="12" fillId="0" borderId="0" xfId="1" applyFont="1" applyAlignment="1">
      <alignment horizontal="left"/>
    </xf>
    <xf numFmtId="0" fontId="13" fillId="0" borderId="0" xfId="1" applyFont="1" applyAlignment="1">
      <alignment horizontal="left"/>
    </xf>
    <xf numFmtId="0" fontId="1" fillId="6" borderId="0" xfId="1" applyFill="1"/>
    <xf numFmtId="0" fontId="1" fillId="6" borderId="0" xfId="1" applyFill="1" applyAlignment="1">
      <alignment wrapText="1"/>
    </xf>
    <xf numFmtId="0" fontId="1" fillId="0" borderId="30" xfId="1" applyBorder="1"/>
    <xf numFmtId="0" fontId="1" fillId="0" borderId="31" xfId="1" applyBorder="1"/>
    <xf numFmtId="0" fontId="1" fillId="0" borderId="32" xfId="1" applyBorder="1"/>
    <xf numFmtId="0" fontId="1" fillId="0" borderId="25" xfId="1" applyBorder="1" applyAlignment="1">
      <alignment wrapText="1"/>
    </xf>
    <xf numFmtId="0" fontId="1" fillId="0" borderId="33" xfId="1" applyBorder="1"/>
    <xf numFmtId="0" fontId="15" fillId="3" borderId="0" xfId="1" applyFont="1" applyFill="1" applyAlignment="1">
      <alignment horizontal="left" wrapText="1"/>
    </xf>
    <xf numFmtId="0" fontId="16" fillId="3" borderId="0" xfId="0" applyFont="1" applyFill="1" applyAlignment="1">
      <alignment horizontal="left" vertical="center"/>
    </xf>
    <xf numFmtId="0" fontId="19" fillId="3" borderId="0" xfId="0" applyFont="1" applyFill="1" applyAlignment="1">
      <alignment horizontal="left" vertical="center"/>
    </xf>
    <xf numFmtId="0" fontId="20" fillId="3" borderId="0" xfId="0" applyFont="1" applyFill="1" applyAlignment="1">
      <alignment horizontal="center" vertical="center"/>
    </xf>
    <xf numFmtId="0" fontId="16" fillId="3" borderId="0" xfId="0" applyFont="1" applyFill="1" applyAlignment="1">
      <alignment vertical="center" wrapText="1"/>
    </xf>
    <xf numFmtId="0" fontId="19" fillId="3" borderId="0" xfId="0" applyFont="1" applyFill="1" applyAlignment="1">
      <alignment horizontal="left"/>
    </xf>
    <xf numFmtId="0" fontId="19" fillId="3" borderId="0" xfId="0" applyFont="1" applyFill="1" applyAlignment="1">
      <alignment wrapText="1"/>
    </xf>
    <xf numFmtId="0" fontId="16" fillId="0" borderId="0" xfId="0" applyFont="1"/>
    <xf numFmtId="0" fontId="16" fillId="3" borderId="0" xfId="0" applyFont="1" applyFill="1"/>
    <xf numFmtId="0" fontId="19" fillId="3" borderId="0" xfId="0" applyFont="1" applyFill="1" applyAlignment="1">
      <alignment horizontal="left" vertical="center" wrapText="1"/>
    </xf>
    <xf numFmtId="0" fontId="19" fillId="0" borderId="0" xfId="0" applyFont="1" applyAlignment="1">
      <alignment horizontal="left" vertical="center"/>
    </xf>
    <xf numFmtId="0" fontId="16" fillId="0" borderId="0" xfId="0" applyFont="1" applyAlignment="1">
      <alignment horizontal="left" vertical="center"/>
    </xf>
    <xf numFmtId="0" fontId="20" fillId="0" borderId="0" xfId="0" applyFont="1" applyAlignment="1">
      <alignment horizontal="center" vertical="center"/>
    </xf>
    <xf numFmtId="0" fontId="16" fillId="0" borderId="0" xfId="0" applyFont="1" applyAlignment="1">
      <alignment vertical="center" wrapText="1"/>
    </xf>
    <xf numFmtId="0" fontId="19" fillId="0" borderId="0" xfId="0" applyFont="1" applyAlignment="1">
      <alignment horizontal="left"/>
    </xf>
    <xf numFmtId="0" fontId="16" fillId="0" borderId="0" xfId="0" applyFont="1" applyAlignment="1">
      <alignment horizontal="left"/>
    </xf>
    <xf numFmtId="0" fontId="19" fillId="3" borderId="0" xfId="0" applyFont="1" applyFill="1" applyAlignment="1">
      <alignment vertical="center" wrapText="1"/>
    </xf>
    <xf numFmtId="0" fontId="19" fillId="3" borderId="0" xfId="0" applyFont="1" applyFill="1" applyAlignment="1">
      <alignment vertical="center"/>
    </xf>
    <xf numFmtId="0" fontId="16" fillId="3" borderId="0" xfId="0" applyFont="1" applyFill="1" applyAlignment="1">
      <alignment vertical="center"/>
    </xf>
    <xf numFmtId="0" fontId="16" fillId="3" borderId="0" xfId="0" applyFont="1" applyFill="1" applyAlignment="1">
      <alignment horizontal="left"/>
    </xf>
    <xf numFmtId="0" fontId="19" fillId="0" borderId="0" xfId="0" applyFont="1" applyAlignment="1">
      <alignment vertical="center"/>
    </xf>
    <xf numFmtId="0" fontId="16" fillId="0" borderId="0" xfId="0" applyFont="1" applyAlignment="1">
      <alignment vertical="center"/>
    </xf>
    <xf numFmtId="0" fontId="16" fillId="0" borderId="0" xfId="0" applyFont="1" applyAlignment="1">
      <alignment wrapText="1"/>
    </xf>
    <xf numFmtId="0" fontId="16" fillId="3" borderId="0" xfId="0" applyFont="1" applyFill="1" applyAlignment="1">
      <alignment vertical="center" wrapText="1" readingOrder="1"/>
    </xf>
    <xf numFmtId="0" fontId="16" fillId="3" borderId="0" xfId="0" applyFont="1" applyFill="1" applyAlignment="1">
      <alignment horizontal="left" wrapText="1"/>
    </xf>
    <xf numFmtId="0" fontId="16" fillId="3" borderId="0" xfId="0" applyFont="1" applyFill="1" applyAlignment="1">
      <alignment wrapText="1"/>
    </xf>
    <xf numFmtId="0" fontId="8" fillId="0" borderId="0" xfId="0" applyFont="1" applyAlignment="1">
      <alignment wrapText="1"/>
    </xf>
    <xf numFmtId="0" fontId="8" fillId="0" borderId="0" xfId="0" applyFont="1" applyAlignment="1">
      <alignment horizontal="center" wrapText="1"/>
    </xf>
    <xf numFmtId="0" fontId="8" fillId="0" borderId="0" xfId="0" applyFont="1" applyAlignment="1">
      <alignment horizontal="left"/>
    </xf>
    <xf numFmtId="0" fontId="8" fillId="0" borderId="0" xfId="0" applyFont="1" applyAlignment="1">
      <alignment horizontal="left" wrapText="1"/>
    </xf>
    <xf numFmtId="0" fontId="8" fillId="0" borderId="0" xfId="1" applyFont="1" applyAlignment="1">
      <alignment wrapText="1"/>
    </xf>
    <xf numFmtId="0" fontId="8" fillId="0" borderId="0" xfId="1" applyFont="1" applyAlignment="1">
      <alignment horizontal="left" wrapText="1"/>
    </xf>
    <xf numFmtId="0" fontId="19" fillId="3" borderId="0" xfId="1" applyFont="1" applyFill="1" applyAlignment="1">
      <alignment horizontal="left" vertical="center"/>
    </xf>
    <xf numFmtId="0" fontId="16" fillId="3" borderId="0" xfId="1" applyFont="1" applyFill="1" applyAlignment="1">
      <alignment horizontal="left" vertical="center"/>
    </xf>
    <xf numFmtId="0" fontId="23" fillId="3" borderId="0" xfId="1" applyFont="1" applyFill="1" applyAlignment="1">
      <alignment horizontal="center" vertical="center"/>
    </xf>
    <xf numFmtId="0" fontId="16" fillId="3" borderId="0" xfId="1" applyFont="1" applyFill="1" applyAlignment="1">
      <alignment vertical="center" wrapText="1"/>
    </xf>
    <xf numFmtId="0" fontId="16" fillId="3" borderId="0" xfId="1" applyFont="1" applyFill="1" applyAlignment="1">
      <alignment horizontal="left"/>
    </xf>
    <xf numFmtId="0" fontId="16" fillId="3" borderId="0" xfId="1" applyFont="1" applyFill="1" applyAlignment="1">
      <alignment wrapText="1"/>
    </xf>
    <xf numFmtId="0" fontId="16" fillId="0" borderId="0" xfId="1" applyFont="1"/>
    <xf numFmtId="0" fontId="19" fillId="0" borderId="0" xfId="1" applyFont="1" applyAlignment="1">
      <alignment horizontal="left" vertical="center"/>
    </xf>
    <xf numFmtId="0" fontId="16" fillId="0" borderId="0" xfId="1" applyFont="1" applyAlignment="1">
      <alignment horizontal="left" vertical="center"/>
    </xf>
    <xf numFmtId="0" fontId="23" fillId="0" borderId="0" xfId="1" applyFont="1" applyAlignment="1">
      <alignment horizontal="center" vertical="center"/>
    </xf>
    <xf numFmtId="0" fontId="16" fillId="0" borderId="0" xfId="1" applyFont="1" applyAlignment="1">
      <alignment vertical="center" wrapText="1"/>
    </xf>
    <xf numFmtId="0" fontId="16" fillId="0" borderId="0" xfId="1" applyFont="1" applyAlignment="1">
      <alignment horizontal="left"/>
    </xf>
    <xf numFmtId="0" fontId="16" fillId="0" borderId="0" xfId="1" applyFont="1" applyAlignment="1">
      <alignment wrapText="1"/>
    </xf>
    <xf numFmtId="0" fontId="20" fillId="3" borderId="0" xfId="1" applyFont="1" applyFill="1" applyAlignment="1">
      <alignment horizontal="center" vertical="center"/>
    </xf>
    <xf numFmtId="0" fontId="16" fillId="3" borderId="0" xfId="1" applyFont="1" applyFill="1" applyAlignment="1">
      <alignment vertical="center" wrapText="1" readingOrder="1"/>
    </xf>
    <xf numFmtId="0" fontId="20" fillId="0" borderId="0" xfId="1" applyFont="1" applyAlignment="1">
      <alignment horizontal="center" vertical="center"/>
    </xf>
    <xf numFmtId="0" fontId="12" fillId="0" borderId="0" xfId="1" applyFont="1"/>
    <xf numFmtId="0" fontId="27" fillId="0" borderId="0" xfId="1" applyFont="1" applyAlignment="1">
      <alignment horizontal="center" vertical="center"/>
    </xf>
    <xf numFmtId="0" fontId="1" fillId="0" borderId="0" xfId="1" applyAlignment="1">
      <alignment vertical="center" wrapText="1"/>
    </xf>
    <xf numFmtId="0" fontId="2" fillId="2" borderId="0" xfId="1" applyFont="1" applyFill="1" applyAlignment="1">
      <alignment wrapText="1"/>
    </xf>
    <xf numFmtId="0" fontId="14" fillId="0" borderId="34" xfId="1" applyFont="1" applyBorder="1" applyAlignment="1">
      <alignment wrapText="1"/>
    </xf>
    <xf numFmtId="0" fontId="1" fillId="3" borderId="34" xfId="1" applyFill="1" applyBorder="1"/>
    <xf numFmtId="0" fontId="1" fillId="0" borderId="34" xfId="1" applyBorder="1"/>
    <xf numFmtId="0" fontId="1" fillId="0" borderId="35" xfId="1" applyBorder="1" applyAlignment="1">
      <alignment wrapText="1"/>
    </xf>
    <xf numFmtId="0" fontId="1" fillId="0" borderId="35" xfId="1" applyBorder="1"/>
    <xf numFmtId="0" fontId="2" fillId="2" borderId="0" xfId="1" applyFont="1" applyFill="1"/>
    <xf numFmtId="0" fontId="29" fillId="0" borderId="0" xfId="1" applyFont="1" applyAlignment="1">
      <alignment wrapText="1"/>
    </xf>
    <xf numFmtId="0" fontId="14" fillId="2" borderId="0" xfId="1" applyFont="1" applyFill="1"/>
    <xf numFmtId="0" fontId="14" fillId="2" borderId="0" xfId="1" applyFont="1" applyFill="1" applyAlignment="1">
      <alignment wrapText="1"/>
    </xf>
    <xf numFmtId="0" fontId="1" fillId="3" borderId="21" xfId="1" applyFill="1" applyBorder="1"/>
    <xf numFmtId="0" fontId="14" fillId="0" borderId="34" xfId="1" applyFont="1" applyBorder="1"/>
    <xf numFmtId="0" fontId="14" fillId="3" borderId="34" xfId="1" applyFont="1" applyFill="1" applyBorder="1"/>
    <xf numFmtId="0" fontId="14" fillId="3" borderId="0" xfId="1" applyFont="1" applyFill="1"/>
    <xf numFmtId="9" fontId="1" fillId="0" borderId="0" xfId="1" applyNumberFormat="1"/>
    <xf numFmtId="0" fontId="1" fillId="0" borderId="34" xfId="1" applyBorder="1" applyAlignment="1">
      <alignment wrapText="1"/>
    </xf>
    <xf numFmtId="0" fontId="1" fillId="3" borderId="35" xfId="1" applyFill="1" applyBorder="1"/>
    <xf numFmtId="0" fontId="1" fillId="0" borderId="36" xfId="1" applyBorder="1"/>
    <xf numFmtId="0" fontId="29" fillId="0" borderId="36" xfId="1" applyFont="1" applyBorder="1" applyAlignment="1">
      <alignment wrapText="1"/>
    </xf>
    <xf numFmtId="0" fontId="30" fillId="0" borderId="0" xfId="1" applyFont="1" applyAlignment="1">
      <alignment wrapText="1"/>
    </xf>
    <xf numFmtId="0" fontId="14" fillId="0" borderId="0" xfId="1" applyFont="1"/>
    <xf numFmtId="0" fontId="12" fillId="0" borderId="0" xfId="1" applyFont="1" applyAlignment="1">
      <alignment horizontal="left" wrapText="1"/>
    </xf>
    <xf numFmtId="0" fontId="1" fillId="6" borderId="0" xfId="1" applyFill="1" applyAlignment="1">
      <alignment horizontal="left" wrapText="1"/>
    </xf>
    <xf numFmtId="0" fontId="2" fillId="0" borderId="20" xfId="1" applyFont="1" applyBorder="1" applyAlignment="1">
      <alignment horizontal="center"/>
    </xf>
    <xf numFmtId="0" fontId="14" fillId="0" borderId="0" xfId="1" applyFont="1" applyAlignment="1">
      <alignment horizontal="center"/>
    </xf>
    <xf numFmtId="0" fontId="1" fillId="3" borderId="0" xfId="1" applyFill="1" applyAlignment="1">
      <alignment horizontal="left" vertical="center" wrapText="1"/>
    </xf>
    <xf numFmtId="0" fontId="20" fillId="0" borderId="0" xfId="1" applyFont="1"/>
    <xf numFmtId="0" fontId="1" fillId="0" borderId="0" xfId="1" applyAlignment="1">
      <alignment horizontal="left" vertical="center" wrapText="1"/>
    </xf>
    <xf numFmtId="0" fontId="1" fillId="6" borderId="0" xfId="1" applyFill="1" applyAlignment="1">
      <alignment horizontal="left" vertical="center" wrapText="1"/>
    </xf>
    <xf numFmtId="0" fontId="12" fillId="6" borderId="0" xfId="1" applyFont="1" applyFill="1" applyAlignment="1">
      <alignment wrapText="1"/>
    </xf>
    <xf numFmtId="0" fontId="20" fillId="3" borderId="0" xfId="1" applyFont="1" applyFill="1"/>
    <xf numFmtId="0" fontId="1" fillId="3" borderId="0" xfId="1" applyFill="1" applyAlignment="1">
      <alignment vertical="center" wrapText="1"/>
    </xf>
    <xf numFmtId="0" fontId="1" fillId="0" borderId="0" xfId="1" applyAlignment="1">
      <alignment horizontal="center" vertical="center"/>
    </xf>
    <xf numFmtId="0" fontId="1" fillId="6" borderId="0" xfId="1" applyFill="1" applyAlignment="1">
      <alignment horizontal="center" vertical="center"/>
    </xf>
    <xf numFmtId="0" fontId="1" fillId="8" borderId="0" xfId="1" applyFill="1"/>
    <xf numFmtId="9" fontId="1" fillId="3" borderId="0" xfId="1" applyNumberFormat="1" applyFill="1"/>
    <xf numFmtId="0" fontId="14" fillId="0" borderId="0" xfId="1" applyFont="1" applyAlignment="1">
      <alignment horizontal="center" wrapText="1"/>
    </xf>
    <xf numFmtId="0" fontId="2" fillId="8" borderId="0" xfId="1" applyFont="1" applyFill="1"/>
    <xf numFmtId="0" fontId="29" fillId="0" borderId="0" xfId="1" applyFont="1" applyAlignment="1">
      <alignment horizontal="center"/>
    </xf>
    <xf numFmtId="0" fontId="29" fillId="0" borderId="0" xfId="1" applyFont="1"/>
    <xf numFmtId="0" fontId="1" fillId="2" borderId="0" xfId="1" applyFill="1" applyAlignment="1">
      <alignment wrapText="1"/>
    </xf>
    <xf numFmtId="0" fontId="1" fillId="2" borderId="0" xfId="1" applyFill="1" applyAlignment="1">
      <alignment horizontal="left"/>
    </xf>
    <xf numFmtId="0" fontId="4" fillId="0" borderId="0" xfId="1" applyFont="1" applyAlignment="1">
      <alignment horizontal="center"/>
    </xf>
    <xf numFmtId="0" fontId="1" fillId="9" borderId="0" xfId="1" applyFill="1" applyAlignment="1">
      <alignment horizontal="left"/>
    </xf>
    <xf numFmtId="3" fontId="1" fillId="0" borderId="0" xfId="1" applyNumberFormat="1" applyAlignment="1">
      <alignment horizontal="left"/>
    </xf>
    <xf numFmtId="0" fontId="14" fillId="0" borderId="38" xfId="1" applyFont="1" applyBorder="1" applyAlignment="1">
      <alignment horizontal="left"/>
    </xf>
    <xf numFmtId="0" fontId="14" fillId="0" borderId="39" xfId="1" applyFont="1" applyBorder="1"/>
    <xf numFmtId="0" fontId="1" fillId="3" borderId="38" xfId="1" applyFill="1" applyBorder="1" applyAlignment="1">
      <alignment horizontal="left"/>
    </xf>
    <xf numFmtId="0" fontId="1" fillId="3" borderId="39" xfId="1" applyFill="1" applyBorder="1"/>
    <xf numFmtId="0" fontId="1" fillId="0" borderId="38" xfId="1" applyBorder="1" applyAlignment="1">
      <alignment horizontal="left"/>
    </xf>
    <xf numFmtId="0" fontId="1" fillId="0" borderId="39" xfId="1" applyBorder="1"/>
    <xf numFmtId="0" fontId="14" fillId="0" borderId="19" xfId="1" applyFont="1" applyBorder="1" applyAlignment="1">
      <alignment horizontal="left"/>
    </xf>
    <xf numFmtId="0" fontId="14" fillId="0" borderId="37" xfId="1" applyFont="1" applyBorder="1"/>
    <xf numFmtId="0" fontId="14" fillId="3" borderId="20" xfId="1" applyFont="1" applyFill="1" applyBorder="1"/>
    <xf numFmtId="0" fontId="14" fillId="0" borderId="40" xfId="1" applyFont="1" applyBorder="1" applyAlignment="1">
      <alignment horizontal="left"/>
    </xf>
    <xf numFmtId="0" fontId="14" fillId="0" borderId="41" xfId="1" applyFont="1" applyBorder="1"/>
    <xf numFmtId="0" fontId="14" fillId="3" borderId="42" xfId="1" applyFont="1" applyFill="1" applyBorder="1"/>
    <xf numFmtId="0" fontId="12" fillId="3" borderId="0" xfId="1" applyFont="1" applyFill="1" applyAlignment="1">
      <alignment wrapText="1"/>
    </xf>
    <xf numFmtId="0" fontId="8" fillId="3" borderId="0" xfId="1" applyFont="1" applyFill="1" applyAlignment="1">
      <alignment wrapText="1"/>
    </xf>
    <xf numFmtId="0" fontId="12" fillId="3" borderId="0" xfId="1" applyFont="1" applyFill="1" applyAlignment="1">
      <alignment horizontal="left" wrapText="1"/>
    </xf>
    <xf numFmtId="0" fontId="12" fillId="3" borderId="0" xfId="1" applyFont="1" applyFill="1" applyAlignment="1">
      <alignment horizontal="right"/>
    </xf>
    <xf numFmtId="0" fontId="8" fillId="3" borderId="0" xfId="1" applyFont="1" applyFill="1" applyAlignment="1">
      <alignment horizontal="left" wrapText="1"/>
    </xf>
    <xf numFmtId="0" fontId="1" fillId="3" borderId="0" xfId="1" applyFill="1" applyAlignment="1">
      <alignment horizontal="right"/>
    </xf>
    <xf numFmtId="0" fontId="18" fillId="0" borderId="0" xfId="1" applyFont="1" applyAlignment="1">
      <alignment vertical="center" wrapText="1"/>
    </xf>
    <xf numFmtId="0" fontId="2" fillId="0" borderId="21" xfId="1" applyFont="1" applyBorder="1" applyAlignment="1">
      <alignment horizontal="center" wrapText="1"/>
    </xf>
    <xf numFmtId="0" fontId="1" fillId="0" borderId="43" xfId="1" applyBorder="1" applyAlignment="1">
      <alignment wrapText="1"/>
    </xf>
    <xf numFmtId="0" fontId="1" fillId="0" borderId="44" xfId="1" applyBorder="1"/>
    <xf numFmtId="0" fontId="1" fillId="0" borderId="45" xfId="1" applyBorder="1"/>
    <xf numFmtId="0" fontId="1" fillId="0" borderId="46" xfId="1" applyBorder="1"/>
    <xf numFmtId="0" fontId="1" fillId="0" borderId="45" xfId="1" applyBorder="1" applyAlignment="1">
      <alignment wrapText="1"/>
    </xf>
    <xf numFmtId="0" fontId="1" fillId="0" borderId="47" xfId="1" applyBorder="1"/>
    <xf numFmtId="0" fontId="1" fillId="0" borderId="48" xfId="1" applyBorder="1"/>
    <xf numFmtId="0" fontId="16" fillId="6" borderId="0" xfId="1" applyFont="1" applyFill="1" applyAlignment="1">
      <alignment horizontal="left" vertical="center"/>
    </xf>
    <xf numFmtId="0" fontId="16" fillId="6" borderId="0" xfId="1" applyFont="1" applyFill="1" applyAlignment="1">
      <alignment horizontal="left" vertical="center" wrapText="1"/>
    </xf>
    <xf numFmtId="0" fontId="19" fillId="6" borderId="0" xfId="1" applyFont="1" applyFill="1" applyAlignment="1">
      <alignment wrapText="1"/>
    </xf>
    <xf numFmtId="0" fontId="16" fillId="3" borderId="0" xfId="1" applyFont="1" applyFill="1"/>
    <xf numFmtId="0" fontId="20" fillId="0" borderId="0" xfId="1" applyFont="1" applyAlignment="1">
      <alignment horizontal="center"/>
    </xf>
    <xf numFmtId="0" fontId="1" fillId="6" borderId="0" xfId="1" applyFill="1" applyAlignment="1">
      <alignment vertical="center" wrapText="1"/>
    </xf>
    <xf numFmtId="0" fontId="1" fillId="6" borderId="0" xfId="1" applyFill="1" applyAlignment="1">
      <alignment vertical="center"/>
    </xf>
    <xf numFmtId="0" fontId="27" fillId="3" borderId="0" xfId="1" applyFont="1" applyFill="1" applyAlignment="1">
      <alignment vertical="center"/>
    </xf>
    <xf numFmtId="0" fontId="1" fillId="3" borderId="0" xfId="1" applyFill="1" applyAlignment="1">
      <alignment vertical="center"/>
    </xf>
    <xf numFmtId="0" fontId="38" fillId="3" borderId="0" xfId="1" applyFont="1" applyFill="1" applyAlignment="1">
      <alignment vertical="center"/>
    </xf>
    <xf numFmtId="0" fontId="38" fillId="0" borderId="0" xfId="1" applyFont="1" applyAlignment="1">
      <alignment vertical="center"/>
    </xf>
    <xf numFmtId="0" fontId="7" fillId="0" borderId="49" xfId="1" applyFont="1" applyBorder="1" applyAlignment="1">
      <alignment horizontal="center"/>
    </xf>
    <xf numFmtId="0" fontId="7" fillId="0" borderId="49" xfId="1" applyFont="1" applyBorder="1" applyAlignment="1">
      <alignment horizontal="center" wrapText="1"/>
    </xf>
    <xf numFmtId="0" fontId="1" fillId="0" borderId="50" xfId="1" applyBorder="1"/>
    <xf numFmtId="0" fontId="1" fillId="0" borderId="51" xfId="1" applyBorder="1"/>
    <xf numFmtId="164" fontId="0" fillId="0" borderId="52" xfId="2" applyNumberFormat="1" applyFont="1" applyBorder="1"/>
    <xf numFmtId="0" fontId="1" fillId="0" borderId="53" xfId="1" applyBorder="1"/>
    <xf numFmtId="164" fontId="0" fillId="0" borderId="46" xfId="2" applyNumberFormat="1" applyFont="1" applyBorder="1"/>
    <xf numFmtId="0" fontId="1" fillId="0" borderId="54" xfId="1" applyBorder="1"/>
    <xf numFmtId="164" fontId="0" fillId="0" borderId="48" xfId="2" applyNumberFormat="1" applyFont="1" applyBorder="1"/>
    <xf numFmtId="0" fontId="12" fillId="6" borderId="0" xfId="1" applyFont="1" applyFill="1"/>
    <xf numFmtId="0" fontId="8" fillId="6" borderId="0" xfId="1" applyFont="1" applyFill="1"/>
    <xf numFmtId="0" fontId="12" fillId="6" borderId="0" xfId="1" applyFont="1" applyFill="1" applyAlignment="1">
      <alignment horizontal="left" wrapText="1"/>
    </xf>
    <xf numFmtId="0" fontId="12" fillId="6" borderId="0" xfId="1" applyFont="1" applyFill="1" applyAlignment="1">
      <alignment horizontal="left"/>
    </xf>
    <xf numFmtId="0" fontId="12" fillId="4" borderId="0" xfId="1" applyFont="1" applyFill="1" applyAlignment="1">
      <alignment horizontal="left" vertical="center"/>
    </xf>
    <xf numFmtId="0" fontId="12" fillId="4" borderId="0" xfId="1" applyFont="1" applyFill="1"/>
    <xf numFmtId="0" fontId="3" fillId="4" borderId="0" xfId="1" applyFont="1" applyFill="1" applyAlignment="1">
      <alignment horizontal="left" vertical="center" wrapText="1"/>
    </xf>
    <xf numFmtId="0" fontId="1" fillId="4" borderId="0" xfId="1" applyFill="1" applyAlignment="1">
      <alignment vertical="center" wrapText="1"/>
    </xf>
    <xf numFmtId="0" fontId="1" fillId="4" borderId="0" xfId="1" applyFill="1" applyAlignment="1">
      <alignment horizontal="left"/>
    </xf>
    <xf numFmtId="0" fontId="12" fillId="0" borderId="0" xfId="1" applyFont="1" applyAlignment="1">
      <alignment horizontal="left" vertical="center"/>
    </xf>
    <xf numFmtId="0" fontId="3" fillId="0" borderId="0" xfId="1" applyFont="1" applyAlignment="1">
      <alignment vertical="center" wrapText="1"/>
    </xf>
    <xf numFmtId="0" fontId="1" fillId="0" borderId="0" xfId="1" applyAlignment="1">
      <alignment vertical="center"/>
    </xf>
    <xf numFmtId="0" fontId="14" fillId="0" borderId="53" xfId="1" applyFont="1" applyBorder="1" applyAlignment="1">
      <alignment horizontal="center" vertical="top"/>
    </xf>
    <xf numFmtId="0" fontId="14" fillId="0" borderId="55" xfId="1" applyFont="1" applyBorder="1" applyAlignment="1">
      <alignment horizontal="center" vertical="top" wrapText="1"/>
    </xf>
    <xf numFmtId="0" fontId="1" fillId="11" borderId="0" xfId="1" applyFill="1"/>
    <xf numFmtId="0" fontId="9" fillId="0" borderId="0" xfId="0" applyFont="1"/>
    <xf numFmtId="0" fontId="12" fillId="0" borderId="0" xfId="0" applyFont="1" applyAlignment="1">
      <alignment horizontal="center"/>
    </xf>
    <xf numFmtId="0" fontId="9" fillId="0" borderId="0" xfId="0" applyFont="1" applyAlignment="1">
      <alignment horizontal="center"/>
    </xf>
    <xf numFmtId="0" fontId="9" fillId="0" borderId="0" xfId="0" applyFont="1" applyAlignment="1">
      <alignment horizontal="left" wrapText="1"/>
    </xf>
    <xf numFmtId="0" fontId="40" fillId="0" borderId="0" xfId="0" applyFont="1"/>
    <xf numFmtId="0" fontId="9" fillId="0" borderId="0" xfId="0" applyFont="1" applyAlignment="1">
      <alignment horizontal="left"/>
    </xf>
    <xf numFmtId="0" fontId="9" fillId="0" borderId="0" xfId="0" applyFont="1" applyAlignment="1">
      <alignment wrapText="1"/>
    </xf>
    <xf numFmtId="0" fontId="42" fillId="0" borderId="0" xfId="3" applyFont="1" applyFill="1" applyBorder="1" applyAlignment="1">
      <alignment horizontal="left"/>
    </xf>
    <xf numFmtId="0" fontId="12" fillId="0" borderId="0" xfId="0" applyFont="1" applyAlignment="1">
      <alignment horizontal="left" wrapText="1"/>
    </xf>
    <xf numFmtId="14" fontId="9" fillId="0" borderId="0" xfId="0" applyNumberFormat="1" applyFont="1" applyAlignment="1">
      <alignment horizontal="left" wrapText="1"/>
    </xf>
    <xf numFmtId="0" fontId="12" fillId="3" borderId="0" xfId="0" applyFont="1" applyFill="1" applyAlignment="1">
      <alignment horizontal="center"/>
    </xf>
    <xf numFmtId="0" fontId="18" fillId="7" borderId="0" xfId="0" applyFont="1" applyFill="1" applyAlignment="1">
      <alignment horizontal="center" vertical="center" wrapText="1"/>
    </xf>
    <xf numFmtId="0" fontId="18" fillId="7" borderId="0" xfId="1" applyFont="1" applyFill="1" applyAlignment="1">
      <alignment horizontal="center" vertical="center" wrapText="1"/>
    </xf>
    <xf numFmtId="0" fontId="2" fillId="0" borderId="28" xfId="1" applyFont="1" applyBorder="1" applyAlignment="1">
      <alignment horizontal="center"/>
    </xf>
    <xf numFmtId="0" fontId="14" fillId="0" borderId="29" xfId="1" applyFont="1" applyBorder="1" applyAlignment="1">
      <alignment horizontal="center"/>
    </xf>
    <xf numFmtId="0" fontId="2" fillId="0" borderId="19" xfId="1" applyFont="1" applyBorder="1" applyAlignment="1">
      <alignment horizontal="center"/>
    </xf>
    <xf numFmtId="0" fontId="2" fillId="0" borderId="20" xfId="1" applyFont="1" applyBorder="1" applyAlignment="1">
      <alignment horizontal="center"/>
    </xf>
    <xf numFmtId="0" fontId="8" fillId="2" borderId="0" xfId="1" applyFont="1" applyFill="1" applyAlignment="1">
      <alignment horizontal="center"/>
    </xf>
    <xf numFmtId="0" fontId="1" fillId="0" borderId="4" xfId="1" applyBorder="1" applyAlignment="1">
      <alignment horizontal="center"/>
    </xf>
    <xf numFmtId="0" fontId="1" fillId="0" borderId="5" xfId="1" applyBorder="1" applyAlignment="1">
      <alignment horizontal="center"/>
    </xf>
    <xf numFmtId="0" fontId="1" fillId="0" borderId="6" xfId="1" applyBorder="1" applyAlignment="1">
      <alignment horizontal="center"/>
    </xf>
    <xf numFmtId="0" fontId="14" fillId="0" borderId="0" xfId="1" applyFont="1" applyAlignment="1">
      <alignment horizontal="center"/>
    </xf>
    <xf numFmtId="0" fontId="1" fillId="0" borderId="0" xfId="1" applyAlignment="1">
      <alignment horizontal="center"/>
    </xf>
    <xf numFmtId="0" fontId="18" fillId="2" borderId="0" xfId="1" applyFont="1" applyFill="1" applyAlignment="1">
      <alignment horizontal="center"/>
    </xf>
    <xf numFmtId="0" fontId="4" fillId="0" borderId="0" xfId="1" applyFont="1" applyAlignment="1">
      <alignment horizontal="center"/>
    </xf>
    <xf numFmtId="0" fontId="2" fillId="0" borderId="37" xfId="1" applyFont="1" applyBorder="1" applyAlignment="1">
      <alignment horizontal="center"/>
    </xf>
    <xf numFmtId="0" fontId="18" fillId="10" borderId="0" xfId="1" applyFont="1" applyFill="1" applyAlignment="1">
      <alignment horizontal="center" vertical="center" wrapText="1"/>
    </xf>
    <xf numFmtId="0" fontId="18" fillId="7" borderId="41" xfId="1" applyFont="1" applyFill="1" applyBorder="1" applyAlignment="1">
      <alignment horizontal="center" vertical="center" wrapText="1"/>
    </xf>
    <xf numFmtId="0" fontId="18" fillId="5" borderId="0" xfId="1" applyFont="1" applyFill="1" applyAlignment="1">
      <alignment horizontal="center"/>
    </xf>
    <xf numFmtId="0" fontId="18" fillId="5" borderId="0" xfId="1" applyFont="1" applyFill="1" applyAlignment="1">
      <alignment horizontal="center" vertical="center"/>
    </xf>
    <xf numFmtId="0" fontId="18" fillId="2" borderId="0" xfId="1" applyFont="1" applyFill="1" applyAlignment="1">
      <alignment horizontal="center" vertical="center"/>
    </xf>
  </cellXfs>
  <cellStyles count="4">
    <cellStyle name="Comma 2" xfId="2" xr:uid="{E71D3A0E-CD89-E346-8C91-BA1D2BC2ED3E}"/>
    <cellStyle name="Hyperlink 2" xfId="3" xr:uid="{34BE3BFF-8F13-5343-BCEB-9641A45020D9}"/>
    <cellStyle name="Normal" xfId="0" builtinId="0"/>
    <cellStyle name="Normal 2" xfId="1" xr:uid="{42C2A59B-9DC3-924D-882A-8E92E2EAB87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microsoft.com/office/2017/10/relationships/person" Target="persons/person.xml"/><Relationship Id="rId21" Type="http://schemas.openxmlformats.org/officeDocument/2006/relationships/worksheet" Target="worksheets/sheet21.xml"/><Relationship Id="rId34" Type="http://schemas.openxmlformats.org/officeDocument/2006/relationships/externalLink" Target="externalLinks/externalLink7.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6.xml"/><Relationship Id="rId38" Type="http://schemas.openxmlformats.org/officeDocument/2006/relationships/sheetMetadata" Target="metadata.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5.xml"/><Relationship Id="rId37" Type="http://schemas.openxmlformats.org/officeDocument/2006/relationships/sharedStrings" Target="sharedStrings.xml"/><Relationship Id="rId40"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36"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35" Type="http://schemas.openxmlformats.org/officeDocument/2006/relationships/theme" Target="theme/theme1.xml"/><Relationship Id="rId8" Type="http://schemas.openxmlformats.org/officeDocument/2006/relationships/worksheet" Target="worksheets/sheet8.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15</xdr:col>
      <xdr:colOff>251460</xdr:colOff>
      <xdr:row>6</xdr:row>
      <xdr:rowOff>38100</xdr:rowOff>
    </xdr:from>
    <xdr:to>
      <xdr:col>23</xdr:col>
      <xdr:colOff>556260</xdr:colOff>
      <xdr:row>40</xdr:row>
      <xdr:rowOff>68580</xdr:rowOff>
    </xdr:to>
    <xdr:pic>
      <xdr:nvPicPr>
        <xdr:cNvPr id="2" name="Picture 1">
          <a:extLst>
            <a:ext uri="{FF2B5EF4-FFF2-40B4-BE49-F238E27FC236}">
              <a16:creationId xmlns:a16="http://schemas.microsoft.com/office/drawing/2014/main" id="{A710AB9D-AB8A-A947-AA6C-E35FF162DB32}"/>
            </a:ext>
          </a:extLst>
        </xdr:cNvPr>
        <xdr:cNvPicPr>
          <a:picLocks noChangeAspect="1"/>
        </xdr:cNvPicPr>
      </xdr:nvPicPr>
      <xdr:blipFill rotWithShape="1">
        <a:blip xmlns:r="http://schemas.openxmlformats.org/officeDocument/2006/relationships" r:embed="rId1"/>
        <a:srcRect l="35629" t="29263" r="36034" b="9989"/>
        <a:stretch/>
      </xdr:blipFill>
      <xdr:spPr>
        <a:xfrm>
          <a:off x="10347960" y="1181100"/>
          <a:ext cx="5689600" cy="6507480"/>
        </a:xfrm>
        <a:prstGeom prst="rect">
          <a:avLst/>
        </a:prstGeom>
      </xdr:spPr>
    </xdr:pic>
    <xdr:clientData/>
  </xdr:twoCellAnchor>
  <xdr:twoCellAnchor editAs="oneCell">
    <xdr:from>
      <xdr:col>26</xdr:col>
      <xdr:colOff>30480</xdr:colOff>
      <xdr:row>5</xdr:row>
      <xdr:rowOff>45720</xdr:rowOff>
    </xdr:from>
    <xdr:to>
      <xdr:col>36</xdr:col>
      <xdr:colOff>597220</xdr:colOff>
      <xdr:row>38</xdr:row>
      <xdr:rowOff>76200</xdr:rowOff>
    </xdr:to>
    <xdr:pic>
      <xdr:nvPicPr>
        <xdr:cNvPr id="3" name="Picture 2">
          <a:extLst>
            <a:ext uri="{FF2B5EF4-FFF2-40B4-BE49-F238E27FC236}">
              <a16:creationId xmlns:a16="http://schemas.microsoft.com/office/drawing/2014/main" id="{10E1477F-5CC8-7640-A550-C4C935E35726}"/>
            </a:ext>
          </a:extLst>
        </xdr:cNvPr>
        <xdr:cNvPicPr>
          <a:picLocks noChangeAspect="1"/>
        </xdr:cNvPicPr>
      </xdr:nvPicPr>
      <xdr:blipFill rotWithShape="1">
        <a:blip xmlns:r="http://schemas.openxmlformats.org/officeDocument/2006/relationships" r:embed="rId2"/>
        <a:srcRect l="35504" t="29041" r="34742" b="22804"/>
        <a:stretch/>
      </xdr:blipFill>
      <xdr:spPr>
        <a:xfrm>
          <a:off x="17531080" y="998220"/>
          <a:ext cx="7297740" cy="6316980"/>
        </a:xfrm>
        <a:prstGeom prst="rect">
          <a:avLst/>
        </a:prstGeom>
      </xdr:spPr>
    </xdr:pic>
    <xdr:clientData/>
  </xdr:twoCellAnchor>
  <xdr:twoCellAnchor editAs="oneCell">
    <xdr:from>
      <xdr:col>36</xdr:col>
      <xdr:colOff>426720</xdr:colOff>
      <xdr:row>2</xdr:row>
      <xdr:rowOff>106680</xdr:rowOff>
    </xdr:from>
    <xdr:to>
      <xdr:col>46</xdr:col>
      <xdr:colOff>304800</xdr:colOff>
      <xdr:row>38</xdr:row>
      <xdr:rowOff>62313</xdr:rowOff>
    </xdr:to>
    <xdr:pic>
      <xdr:nvPicPr>
        <xdr:cNvPr id="4" name="Picture 3">
          <a:extLst>
            <a:ext uri="{FF2B5EF4-FFF2-40B4-BE49-F238E27FC236}">
              <a16:creationId xmlns:a16="http://schemas.microsoft.com/office/drawing/2014/main" id="{F323900B-025D-504A-99B7-5BAB051C5FF7}"/>
            </a:ext>
          </a:extLst>
        </xdr:cNvPr>
        <xdr:cNvPicPr>
          <a:picLocks noChangeAspect="1"/>
        </xdr:cNvPicPr>
      </xdr:nvPicPr>
      <xdr:blipFill rotWithShape="1">
        <a:blip xmlns:r="http://schemas.openxmlformats.org/officeDocument/2006/relationships" r:embed="rId3"/>
        <a:srcRect l="35546" t="35560" r="35825" b="8728"/>
        <a:stretch/>
      </xdr:blipFill>
      <xdr:spPr>
        <a:xfrm>
          <a:off x="24658320" y="487680"/>
          <a:ext cx="6609080" cy="6813633"/>
        </a:xfrm>
        <a:prstGeom prst="rect">
          <a:avLst/>
        </a:prstGeom>
      </xdr:spPr>
    </xdr:pic>
    <xdr:clientData/>
  </xdr:twoCellAnchor>
  <xdr:twoCellAnchor editAs="oneCell">
    <xdr:from>
      <xdr:col>0</xdr:col>
      <xdr:colOff>190500</xdr:colOff>
      <xdr:row>17</xdr:row>
      <xdr:rowOff>60960</xdr:rowOff>
    </xdr:from>
    <xdr:to>
      <xdr:col>14</xdr:col>
      <xdr:colOff>182880</xdr:colOff>
      <xdr:row>37</xdr:row>
      <xdr:rowOff>7620</xdr:rowOff>
    </xdr:to>
    <xdr:pic>
      <xdr:nvPicPr>
        <xdr:cNvPr id="5" name="Picture 4">
          <a:extLst>
            <a:ext uri="{FF2B5EF4-FFF2-40B4-BE49-F238E27FC236}">
              <a16:creationId xmlns:a16="http://schemas.microsoft.com/office/drawing/2014/main" id="{EFD2F0D7-2F7D-7F4C-949F-602309B1EA6A}"/>
            </a:ext>
          </a:extLst>
        </xdr:cNvPr>
        <xdr:cNvPicPr>
          <a:picLocks noChangeAspect="1"/>
        </xdr:cNvPicPr>
      </xdr:nvPicPr>
      <xdr:blipFill rotWithShape="1">
        <a:blip xmlns:r="http://schemas.openxmlformats.org/officeDocument/2006/relationships" r:embed="rId4"/>
        <a:srcRect l="27211" t="36004" r="26157" b="28955"/>
        <a:stretch/>
      </xdr:blipFill>
      <xdr:spPr>
        <a:xfrm>
          <a:off x="190500" y="3299460"/>
          <a:ext cx="9415780" cy="37566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13</xdr:row>
      <xdr:rowOff>0</xdr:rowOff>
    </xdr:from>
    <xdr:to>
      <xdr:col>5</xdr:col>
      <xdr:colOff>3257550</xdr:colOff>
      <xdr:row>66</xdr:row>
      <xdr:rowOff>180975</xdr:rowOff>
    </xdr:to>
    <xdr:pic>
      <xdr:nvPicPr>
        <xdr:cNvPr id="2" name="Picture 1">
          <a:extLst>
            <a:ext uri="{FF2B5EF4-FFF2-40B4-BE49-F238E27FC236}">
              <a16:creationId xmlns:a16="http://schemas.microsoft.com/office/drawing/2014/main" id="{786114E2-FFE6-314F-87CE-4DC44827C286}"/>
            </a:ext>
          </a:extLst>
        </xdr:cNvPr>
        <xdr:cNvPicPr>
          <a:picLocks noChangeAspect="1"/>
        </xdr:cNvPicPr>
      </xdr:nvPicPr>
      <xdr:blipFill>
        <a:blip xmlns:r="http://schemas.openxmlformats.org/officeDocument/2006/relationships" r:embed="rId1"/>
        <a:stretch>
          <a:fillRect/>
        </a:stretch>
      </xdr:blipFill>
      <xdr:spPr>
        <a:xfrm>
          <a:off x="0" y="8293100"/>
          <a:ext cx="8705850" cy="106203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AMS-I.F/CDM%20AMS-I.F..xlsx" TargetMode="External"/><Relationship Id="rId1" Type="http://schemas.openxmlformats.org/officeDocument/2006/relationships/externalLinkPath" Target="/personal/daniel_norkin_envisionblockchain_com/Documents/Marketing/Clients/UNFCCC/UNFCCC%20Project%20Documentation/UNFCCC%2016%20Methodologies/AMS-I.F/CDM%20AMS-I.F..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05.xlsx" TargetMode="External"/><Relationship Id="rId1" Type="http://schemas.openxmlformats.org/officeDocument/2006/relationships/externalLinkPath" Target="/personal/daniel_norkin_envisionblockchain_com/Documents/Marketing/Clients/UNFCCC/UNFCCC%20Project%20Documentation/UNFCCC%2016%20Methodologies/Tools/Tool%2005.xlsx"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ACM0018/ACM0018.xlsx" TargetMode="External"/><Relationship Id="rId1" Type="http://schemas.openxmlformats.org/officeDocument/2006/relationships/externalLinkPath" Target="/personal/daniel_norkin_envisionblockchain_com/Documents/Marketing/Clients/UNFCCC/UNFCCC%20Project%20Documentation/UNFCCC%2016%20Methodologies/ACM0018/ACM0018.xlsx" TargetMode="External"/></Relationships>
</file>

<file path=xl/externalLinks/_rels/externalLink4.xml.rels><?xml version="1.0" encoding="UTF-8" standalone="yes"?>
<Relationships xmlns="http://schemas.openxmlformats.org/package/2006/relationships"><Relationship Id="rId3" Type="http://schemas.openxmlformats.org/officeDocument/2006/relationships/externalLinkPath" Target="https://envisionblockchain-my.sharepoint.com/personal/daniel_norkin_envisionblockchain_com/Documents/Marketing/Clients/UNFCCC/UNFCCC%20Project%20Documentation/UNFCCC%2016%20Methodologies/Tools/CDM%20Tool%2016_Biomass%20Emissions_9-28-23.xlsx" TargetMode="External"/><Relationship Id="rId2" Type="http://schemas.microsoft.com/office/2019/04/relationships/externalLinkLongPath" Target="/personal/daniel_norkin_envisionblockchain_com/Documents/Marketing/Clients/UNFCCC/UNFCCC%20Project%20Documentation/UNFCCC%2016%20Methodologies/Tools/CDM%20Tool%2016_Biomass%20Emissions_9-28-23.xlsx?0D5D24E7" TargetMode="External"/><Relationship Id="rId1" Type="http://schemas.openxmlformats.org/officeDocument/2006/relationships/externalLinkPath" Target="file:///\\0D5D24E7\CDM%20Tool%2016_Biomass%20Emissions_9-28-23.xlsx"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CDM%20Tool%2004_SWDS_9-20-23.xlsx" TargetMode="External"/><Relationship Id="rId1" Type="http://schemas.openxmlformats.org/officeDocument/2006/relationships/externalLinkPath" Target="/personal/daniel_norkin_envisionblockchain_com/Documents/Marketing/Clients/UNFCCC/UNFCCC%20Project%20Documentation/UNFCCC%2016%20Methodologies/Tools/CDM%20Tool%2004_SWDS_9-20-23.xlsx" TargetMode="External"/></Relationships>
</file>

<file path=xl/externalLinks/_rels/externalLink6.xml.rels><?xml version="1.0" encoding="UTF-8" standalone="yes"?>
<Relationships xmlns="http://schemas.openxmlformats.org/package/2006/relationships"><Relationship Id="rId3" Type="http://schemas.openxmlformats.org/officeDocument/2006/relationships/externalLinkPath" Target="https://envisionblockchain-my.sharepoint.com/personal/daniel_norkin_envisionblockchain_com/Documents/Marketing/Clients/UNFCCC/UNFCCC%20Project%20Documentation/UNFCCC%2016%20Methodologies/Tools/CDM%20Tool%2012_Freight%20Trans_9-20-23.xlsx" TargetMode="External"/><Relationship Id="rId2" Type="http://schemas.microsoft.com/office/2019/04/relationships/externalLinkLongPath" Target="/personal/daniel_norkin_envisionblockchain_com/Documents/Marketing/Clients/UNFCCC/UNFCCC%20Project%20Documentation/UNFCCC%2016%20Methodologies/Tools/CDM%20Tool%2012_Freight%20Trans_9-20-23.xlsx?0D5D24E7" TargetMode="External"/><Relationship Id="rId1" Type="http://schemas.openxmlformats.org/officeDocument/2006/relationships/externalLinkPath" Target="file:///\\0D5D24E7\CDM%20Tool%2012_Freight%20Trans_9-20-23.xlsx" TargetMode="External"/></Relationships>
</file>

<file path=xl/externalLinks/_rels/externalLink7.xml.rels><?xml version="1.0" encoding="UTF-8" standalone="yes"?>
<Relationships xmlns="http://schemas.openxmlformats.org/package/2006/relationships"><Relationship Id="rId2" Type="http://schemas.openxmlformats.org/officeDocument/2006/relationships/externalLinkPath" Target="https://envisionblockchain-my.sharepoint.com/personal/daniel_norkin_envisionblockchain_com/Documents/Marketing/Clients/UNFCCC/UNFCCC%20Project%20Documentation/UNFCCC%2016%20Methodologies/Tools/Tool%2013.xlsx" TargetMode="External"/><Relationship Id="rId1" Type="http://schemas.openxmlformats.org/officeDocument/2006/relationships/externalLinkPath" Target="/personal/daniel_norkin_envisionblockchain_com/Documents/Marketing/Clients/UNFCCC/UNFCCC%20Project%20Documentation/UNFCCC%2016%20Methodologies/Tools/Tool%201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T2YSKDNL6NNJFJJYBGEOYYDQH5">
      <xxl21:absoluteUrl r:id="rId2"/>
    </xxl21:alternateUrls>
    <sheetNames>
      <sheetName val="AMS-I.F."/>
      <sheetName val="ACM0002 Geothermal &amp; Hydro"/>
      <sheetName val="Power Density Integrated"/>
      <sheetName val="Tool 01"/>
      <sheetName val="Tool 03"/>
      <sheetName val="Tool 04 - SWDS-Yearly"/>
      <sheetName val="SWDS Emissions Summary Tab "/>
      <sheetName val="Tool 04 Dropdown Items"/>
      <sheetName val="Tool 05.1"/>
      <sheetName val="Tool 05.2 Power Plants"/>
      <sheetName val="Tool 05.3 Default Values"/>
      <sheetName val="Tool 06"/>
      <sheetName val="Tool 12 - Freight Trains"/>
      <sheetName val="Tool 12 Emissions Summary Tab"/>
      <sheetName val="Tool 12 Dropdown Items"/>
      <sheetName val="Tool 13"/>
      <sheetName val="MCF Defaults"/>
      <sheetName val="Tool 14"/>
      <sheetName val="Tool 16"/>
      <sheetName val="Biomass Emissions Summary Tab "/>
      <sheetName val="Tool 16 Dropdown Items"/>
      <sheetName val="Tool 16 Default Values"/>
      <sheetName val="Tool 33 "/>
      <sheetName val="IWA Properti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WGQIBIYKIRVJAKCI3AZODFRW34">
      <xxl21:absoluteUrl r:id="rId2"/>
    </xxl21:alternateUrls>
    <sheetNames>
      <sheetName val="Tool 05.1"/>
      <sheetName val="Tool 05.2 Power Plants"/>
      <sheetName val="Tool 05.3 Default Values"/>
      <sheetName val="Tool 05 Power Plants"/>
      <sheetName val="Tool 05 Avg Net Calorific V"/>
      <sheetName val="Tool 05 Fuel Type Emission"/>
    </sheetNames>
    <sheetDataSet>
      <sheetData sheetId="0"/>
      <sheetData sheetId="1"/>
      <sheetData sheetId="2"/>
      <sheetData sheetId="3" refreshError="1"/>
      <sheetData sheetId="4" refreshError="1"/>
      <sheetData sheetId="5"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U5PZZ6GTMBPBBYLSWDQMUL7UTJ">
      <xxl21:absoluteUrl r:id="rId2"/>
    </xxl21:alternateUrls>
    <sheetNames>
      <sheetName val="Main Methodology"/>
      <sheetName val="Click to Add Values"/>
      <sheetName val="IWA Properties"/>
      <sheetName val="Tool 02"/>
      <sheetName val="Tool 03"/>
      <sheetName val="Tool 04 - SWDS-Yearly"/>
      <sheetName val="Tool 04 - SWDS Emissions Summ"/>
      <sheetName val="Tool 04 - Dropdown Items"/>
      <sheetName val="Tool 05.1"/>
      <sheetName val="Tool 05.2 Power Plants"/>
      <sheetName val="Tool 05.3 Default Values"/>
      <sheetName val="Tool 06"/>
      <sheetName val="Tool 07"/>
      <sheetName val="Tool 07 Simple OM"/>
      <sheetName val="Tool 07 Simple Adj OM"/>
      <sheetName val="Tool 07 Default Lambda"/>
      <sheetName val="Tool 07 Dispatch Data OM"/>
      <sheetName val="Tool 07 Average OM"/>
      <sheetName val="Tool 07 Build Margin"/>
      <sheetName val="Tool 07 Combined Margin"/>
      <sheetName val="Tool 09"/>
      <sheetName val="Tool 09 - Default Values"/>
      <sheetName val="Tool 09 - Dropdown Items"/>
      <sheetName val="Tool 10"/>
      <sheetName val="Tool 12 - Freight Trans"/>
      <sheetName val="Tool 12 - Emissions Summary Tab"/>
      <sheetName val="Tool 12 - Dropdown Items"/>
      <sheetName val="Tool 13"/>
      <sheetName val="Tool 13 - MCF Defaults"/>
      <sheetName val="Tool 14"/>
      <sheetName val="Tool 16"/>
      <sheetName val="Tool 16 Biomass Emissions Summ"/>
      <sheetName val="Tool 16 - Dropdown Items"/>
      <sheetName val="Tool 16 - Default Values"/>
    </sheetNames>
    <sheetDataSet>
      <sheetData sheetId="0"/>
      <sheetData sheetId="1"/>
      <sheetData sheetId="2"/>
      <sheetData sheetId="3"/>
      <sheetData sheetId="4">
        <row r="3">
          <cell r="G3">
            <v>73.333333333333329</v>
          </cell>
        </row>
      </sheetData>
      <sheetData sheetId="5">
        <row r="86">
          <cell r="C86">
            <v>10.136870643302116</v>
          </cell>
        </row>
      </sheetData>
      <sheetData sheetId="6"/>
      <sheetData sheetId="7"/>
      <sheetData sheetId="8">
        <row r="16">
          <cell r="G16">
            <v>0.39375000000000004</v>
          </cell>
        </row>
      </sheetData>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21">
          <cell r="C21">
            <v>2.58E-2</v>
          </cell>
        </row>
      </sheetData>
      <sheetData sheetId="25"/>
      <sheetData sheetId="26"/>
      <sheetData sheetId="27">
        <row r="65">
          <cell r="G65">
            <v>10.136870643302116</v>
          </cell>
        </row>
      </sheetData>
      <sheetData sheetId="28"/>
      <sheetData sheetId="29"/>
      <sheetData sheetId="30"/>
      <sheetData sheetId="31"/>
      <sheetData sheetId="32"/>
      <sheetData sheetId="33"/>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XBF2O2OQBWPNF3OMUH5HQCZQEC">
      <xxl21:absoluteUrl r:id="rId3"/>
    </xxl21:alternateUrls>
    <sheetNames>
      <sheetName val="Tool 16"/>
      <sheetName val="Biomass Emissions Summary Tab "/>
      <sheetName val="Dropdown Items"/>
      <sheetName val="Default Values"/>
    </sheetNames>
    <sheetDataSet>
      <sheetData sheetId="0">
        <row r="71">
          <cell r="C71" t="e">
            <v>#DIV/0!</v>
          </cell>
        </row>
        <row r="73">
          <cell r="C73" t="str">
            <v>Parameter PEtr,m from Tool 12</v>
          </cell>
        </row>
        <row r="74">
          <cell r="C74" t="str">
            <v>Parameter PEtr,m from Tool 12</v>
          </cell>
        </row>
        <row r="91">
          <cell r="C91" t="e">
            <v>#VALUE!</v>
          </cell>
        </row>
        <row r="107">
          <cell r="C107" t="e">
            <v>#VALUE!</v>
          </cell>
        </row>
        <row r="111">
          <cell r="C111">
            <v>0</v>
          </cell>
        </row>
        <row r="116">
          <cell r="C116">
            <v>0</v>
          </cell>
        </row>
        <row r="119">
          <cell r="C119" t="str">
            <v>Parameter LEtr,m from Tool 12</v>
          </cell>
        </row>
        <row r="136">
          <cell r="C136" t="e">
            <v>#VALUE!</v>
          </cell>
        </row>
      </sheetData>
      <sheetData sheetId="1"/>
      <sheetData sheetId="2"/>
      <sheetData sheetId="3"/>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XEJNYBYUVRFFEIBRCCVT7ACKGH">
      <xxl21:absoluteUrl r:id="rId2"/>
    </xxl21:alternateUrls>
    <sheetNames>
      <sheetName val="Tool 04-SWDS-Yearly"/>
      <sheetName val="SWDS Emissions Summary Tab "/>
      <sheetName val="Dropdown Items"/>
    </sheetNames>
    <sheetDataSet>
      <sheetData sheetId="0">
        <row r="3">
          <cell r="C3" t="str">
            <v>Baseline Emissions (BE)</v>
          </cell>
        </row>
        <row r="86">
          <cell r="C86" t="e">
            <v>#DIV/0!</v>
          </cell>
        </row>
      </sheetData>
      <sheetData sheetId="1" refreshError="1"/>
      <sheetData sheetId="2"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SIDAWGQURPQJDJXQHJO2U7HLV4">
      <xxl21:absoluteUrl r:id="rId3"/>
    </xxl21:alternateUrls>
    <sheetNames>
      <sheetName val="Tool 12 - Freight Trans"/>
      <sheetName val="Emissions Summary Tab"/>
      <sheetName val="Dropdown Items"/>
      <sheetName val="Tool 12 - Freight Trains"/>
    </sheetNames>
    <sheetDataSet>
      <sheetData sheetId="0" refreshError="1"/>
      <sheetData sheetId="1" refreshError="1"/>
      <sheetData sheetId="2" refreshError="1"/>
      <sheetData sheetId="3" refreshError="1">
        <row r="4">
          <cell r="C4" t="str">
            <v>Project emissions (PEtr,m)</v>
          </cell>
        </row>
        <row r="5">
          <cell r="C5" t="str">
            <v>Activity 1</v>
          </cell>
        </row>
        <row r="7">
          <cell r="C7" t="str">
            <v>Source 1</v>
          </cell>
        </row>
        <row r="8">
          <cell r="C8" t="str">
            <v>Facility 1</v>
          </cell>
        </row>
        <row r="9">
          <cell r="C9" t="str">
            <v>Sugar cane bagasse</v>
          </cell>
        </row>
        <row r="11">
          <cell r="C11">
            <v>2</v>
          </cell>
        </row>
        <row r="12">
          <cell r="C12" t="str">
            <v>Option A: Monitoring fuel consumption</v>
          </cell>
        </row>
        <row r="13">
          <cell r="C13" t="str">
            <v>Road Vehicle</v>
          </cell>
        </row>
        <row r="14">
          <cell r="C14" t="str">
            <v>Heavy</v>
          </cell>
        </row>
        <row r="17">
          <cell r="C17" t="str">
            <v>[Tool  03] Parameter = PEFC,j,y</v>
          </cell>
        </row>
        <row r="19">
          <cell r="C19">
            <v>100</v>
          </cell>
        </row>
        <row r="21">
          <cell r="C21">
            <v>2.58E-2</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RgJ--WRyWk2M58t-xo8AMw4Hd2S_tuVIh6_9J6mM8WvmO8km1t4fTabOi9lRuvUT" itemId="01AGBR2IUTXWY3FP4SHZGJ7L33LFH4RLMW">
      <xxl21:absoluteUrl r:id="rId2"/>
    </xxl21:alternateUrls>
    <sheetNames>
      <sheetName val="Tool 13"/>
      <sheetName val="MCF Defaults"/>
      <sheetName val="Tool 05.1"/>
      <sheetName val="(Revised) Tool 03"/>
      <sheetName val="Tool 04-SWDS-Yearly"/>
      <sheetName val="Tool 05.2 Power Plants"/>
      <sheetName val="Tool 05.3 Default Values"/>
      <sheetName val="SWDS Emissions Summary Tab "/>
      <sheetName val="Dropdown Items"/>
    </sheetNames>
    <sheetDataSet>
      <sheetData sheetId="0"/>
      <sheetData sheetId="1">
        <row r="3">
          <cell r="B3" t="str">
            <v>Discharge of wastewater to sea, river or lake</v>
          </cell>
          <cell r="C3">
            <v>0.1</v>
          </cell>
        </row>
        <row r="4">
          <cell r="B4" t="str">
            <v>Aerobic treatment, well managed</v>
          </cell>
          <cell r="C4">
            <v>0</v>
          </cell>
        </row>
        <row r="5">
          <cell r="B5" t="str">
            <v>Aerobic treatment, poorly managed or overloaded</v>
          </cell>
          <cell r="C5">
            <v>0.3</v>
          </cell>
        </row>
        <row r="6">
          <cell r="B6" t="str">
            <v>Anaerobic digester for sludge without methane recovery</v>
          </cell>
          <cell r="C6">
            <v>0.8</v>
          </cell>
        </row>
        <row r="7">
          <cell r="B7" t="str">
            <v>Anaerobic reactor without methane recovery</v>
          </cell>
          <cell r="C7">
            <v>0.8</v>
          </cell>
        </row>
        <row r="8">
          <cell r="B8" t="str">
            <v>Anaerobic shallow lagoon (depth less than 2 metres)</v>
          </cell>
          <cell r="C8">
            <v>0.2</v>
          </cell>
        </row>
        <row r="9">
          <cell r="B9" t="str">
            <v>Anaerobic deep lagoon (depth more than 2 metres)</v>
          </cell>
          <cell r="C9">
            <v>0.8</v>
          </cell>
        </row>
        <row r="10">
          <cell r="B10" t="str">
            <v>Septic system</v>
          </cell>
          <cell r="C10">
            <v>0.5</v>
          </cell>
        </row>
      </sheetData>
      <sheetData sheetId="2" refreshError="1"/>
      <sheetData sheetId="3" refreshError="1"/>
      <sheetData sheetId="4" refreshError="1"/>
      <sheetData sheetId="5" refreshError="1"/>
      <sheetData sheetId="6" refreshError="1"/>
      <sheetData sheetId="7"/>
      <sheetData sheetId="8"/>
    </sheetDataSet>
  </externalBook>
</externalLink>
</file>

<file path=xl/persons/person.xml><?xml version="1.0" encoding="utf-8"?>
<personList xmlns="http://schemas.microsoft.com/office/spreadsheetml/2018/threadedcomments" xmlns:x="http://schemas.openxmlformats.org/spreadsheetml/2006/main">
  <person displayName="Max Pinnola" id="{B260C802-7A6F-F549-9603-B70C7EEDB718}" userId="6071b2e426a8e48f" providerId="Windows Live"/>
  <person displayName="Luis Hernandez" id="{73129C60-866E-D644-A6F0-91E6FD82297F}" userId="ebeb5ab4f4590142" providerId="Windows Live"/>
  <person displayName="Jailine Molina" id="{7CDFD77F-7EE0-844F-B674-02F9AC6590B4}" userId="f3e4387646bbb898" providerId="Windows Live"/>
  <person displayName="Dalís Rae De La Mora" id="{98F0F643-7A5C-1C43-AE3D-EDC6E5E3BEB6}" userId="S::drdelamo@calpoly.edu::adad9fd7-6cb2-44dd-8383-7fe6ae23b99e" providerId="AD"/>
  <person displayName="Dalis De La Mora" id="{6477EDE7-CBD5-C646-9AE3-9D6C80FECAA7}" userId="S::dalis.delamora@envisionblockchain.com::1b03f37c-b3aa-45b7-ad8c-7bb10a27aa2e" providerId="AD"/>
  <person displayName="Jailine Molina" id="{3B8ACD1D-38B5-9C45-887D-916F3D034C65}" userId="S::jailine.molina@envisionblockchain.com::dcbde9ba-19ec-4293-81b0-e7f5b6f86adb" providerId="AD"/>
  <person displayName="Luiz Hernandez" id="{9EC0D274-6794-5F42-A337-2C5A06685BFF}" userId="S::luiz.hernandez@envisionblockchain.com::18725e9c-2f54-407d-8eb5-9ce1c3438bc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6" dT="2023-09-27T22:45:13.08" personId="{98F0F643-7A5C-1C43-AE3D-EDC6E5E3BEB6}" id="{26D3403C-65D7-484A-B53E-355EDB6D546C}">
    <text>Eq 1</text>
  </threadedComment>
  <threadedComment ref="G37" dT="2023-09-27T22:45:19.87" personId="{98F0F643-7A5C-1C43-AE3D-EDC6E5E3BEB6}" id="{F6AB8585-A22D-CD44-8A1F-4DAEC9C0C6AE}">
    <text>Eq 2</text>
  </threadedComment>
  <threadedComment ref="G70" dT="2023-09-27T22:45:13.08" personId="{98F0F643-7A5C-1C43-AE3D-EDC6E5E3BEB6}" id="{6DB9F140-3086-9143-9DF6-8DB49A683AEA}">
    <text>Eq 3</text>
  </threadedComment>
  <threadedComment ref="G71" dT="2023-09-27T22:45:19.87" personId="{98F0F643-7A5C-1C43-AE3D-EDC6E5E3BEB6}" id="{B4CBA19C-5AC9-EF4D-8DD6-CF65CA34E9EE}">
    <text>Eq 4</text>
  </threadedComment>
  <threadedComment ref="G84" dT="2023-10-05T18:19:59.27" personId="{6477EDE7-CBD5-C646-9AE3-9D6C80FECAA7}" id="{CFD729E1-041E-4B42-9BB3-CAB91DA65662}">
    <text>Eq 5</text>
  </threadedComment>
  <threadedComment ref="G100" dT="2023-09-29T19:02:21.75" personId="{6477EDE7-CBD5-C646-9AE3-9D6C80FECAA7}" id="{8621C397-B410-5842-A475-C841C4536984}">
    <text>ACM0002 Geothermal &amp; Hydro</text>
  </threadedComment>
  <threadedComment ref="G102" dT="2023-08-29T13:25:02.23" personId="{98F0F643-7A5C-1C43-AE3D-EDC6E5E3BEB6}" id="{7BB37307-7D93-BA40-A00E-965292CDAC83}">
    <text>TOOL16</text>
  </threadedComment>
  <threadedComment ref="G103" dT="2023-08-29T13:25:20.54" personId="{98F0F643-7A5C-1C43-AE3D-EDC6E5E3BEB6}" id="{2469AB85-A2A7-2E41-82A6-F43888B99EBA}">
    <text>TOOL16</text>
  </threadedComment>
  <threadedComment ref="G104" dT="2023-08-29T13:25:27.71" personId="{98F0F643-7A5C-1C43-AE3D-EDC6E5E3BEB6}" id="{A7924862-8D1B-3743-8322-025479EFE7BA}">
    <text>TOOL16</text>
  </threadedComment>
  <threadedComment ref="G105" dT="2023-08-29T13:25:36.13" personId="{98F0F643-7A5C-1C43-AE3D-EDC6E5E3BEB6}" id="{8C868D16-C278-5440-B27F-DAC5EE3D8C89}">
    <text>TOOL16</text>
  </threadedComment>
  <threadedComment ref="G106" dT="2023-08-29T13:26:13.55" personId="{98F0F643-7A5C-1C43-AE3D-EDC6E5E3BEB6}" id="{FF5999AA-1CF1-7341-9CC5-0F188CCBB88A}">
    <text>TOOL16</text>
  </threadedComment>
  <threadedComment ref="G108" dT="2023-09-29T19:02:43.46" personId="{6477EDE7-CBD5-C646-9AE3-9D6C80FECAA7}" id="{A80C3BBC-D07A-1E4C-935A-4A921D595CA6}">
    <text>ACM0002 Geothermal &amp; Hydro</text>
  </threadedComment>
  <threadedComment ref="G110" dT="2023-08-29T13:25:02.23" personId="{98F0F643-7A5C-1C43-AE3D-EDC6E5E3BEB6}" id="{F0E6FAAD-187B-FE42-A3B6-189268F8BCF9}">
    <text>TOOL16</text>
  </threadedComment>
  <threadedComment ref="G111" dT="2023-08-29T13:25:20.54" personId="{98F0F643-7A5C-1C43-AE3D-EDC6E5E3BEB6}" id="{5337B32B-C888-0A42-B9E2-BC2EF5AF438C}">
    <text>TOOL16</text>
  </threadedComment>
  <threadedComment ref="G112" dT="2023-08-29T13:25:27.71" personId="{98F0F643-7A5C-1C43-AE3D-EDC6E5E3BEB6}" id="{90A26CAA-3AA0-9F46-941C-E47906230798}">
    <text>TOOL16</text>
  </threadedComment>
  <threadedComment ref="G113" dT="2023-08-29T13:25:36.13" personId="{98F0F643-7A5C-1C43-AE3D-EDC6E5E3BEB6}" id="{FBCB2B4F-4096-B146-AADD-806749235DB6}">
    <text>TOOL16</text>
  </threadedComment>
  <threadedComment ref="G114" dT="2023-08-29T13:26:13.55" personId="{98F0F643-7A5C-1C43-AE3D-EDC6E5E3BEB6}" id="{5D8E2037-3365-684D-A048-D2FC331F0646}">
    <text>TOOL16</text>
  </threadedComment>
  <threadedComment ref="G122" dT="2023-08-29T12:57:34.49" personId="{98F0F643-7A5C-1C43-AE3D-EDC6E5E3BEB6}" id="{9E7DF1BF-DFB1-D240-9700-D16F8A4F3AB0}">
    <text>TOOL16</text>
  </threadedComment>
</ThreadedComments>
</file>

<file path=xl/threadedComments/threadedComment10.xml><?xml version="1.0" encoding="utf-8"?>
<ThreadedComments xmlns="http://schemas.microsoft.com/office/spreadsheetml/2018/threadedcomments" xmlns:x="http://schemas.openxmlformats.org/spreadsheetml/2006/main">
  <threadedComment ref="B34" dT="2023-09-14T15:57:32.66" personId="{B260C802-7A6F-F549-9603-B70C7EEDB718}" id="{87BF3BD3-918D-C749-BAD5-6979CD3BB717}">
    <text>Equation 3</text>
  </threadedComment>
  <threadedComment ref="B35" dT="2023-09-14T15:57:50.52" personId="{B260C802-7A6F-F549-9603-B70C7EEDB718}" id="{1759444D-C0D0-CD42-A220-D7B22496CDA3}">
    <text>Equation 4</text>
  </threadedComment>
  <threadedComment ref="B44" dT="2023-09-14T16:00:06.57" personId="{B260C802-7A6F-F549-9603-B70C7EEDB718}" id="{702AC67C-5132-2C41-B279-96F4B8EC3AA9}">
    <text>Equation 7</text>
  </threadedComment>
  <threadedComment ref="B45" dT="2023-09-14T15:58:31.69" personId="{B260C802-7A6F-F549-9603-B70C7EEDB718}" id="{58A97CFC-607F-C64A-B3B3-85B5B215D55C}">
    <text>Equation 5</text>
  </threadedComment>
  <threadedComment ref="B54" dT="2023-09-14T16:00:45.83" personId="{B260C802-7A6F-F549-9603-B70C7EEDB718}" id="{26D0F9FB-5218-9141-A4A6-E1D4BBCAFC75}">
    <text>Equation 9</text>
  </threadedComment>
  <threadedComment ref="B59" dT="2023-09-14T16:01:11.41" personId="{B260C802-7A6F-F549-9603-B70C7EEDB718}" id="{BC74A192-0D46-3B45-B942-6B878EC477B9}">
    <text>Equation 11</text>
  </threadedComment>
  <threadedComment ref="B66" dT="2023-09-14T16:02:00.74" personId="{B260C802-7A6F-F549-9603-B70C7EEDB718}" id="{7FDDA259-A56F-294C-A886-298324E330E9}">
    <text>Equation 12</text>
  </threadedComment>
  <threadedComment ref="B86" dT="2023-09-08T16:51:38.02" personId="{B260C802-7A6F-F549-9603-B70C7EEDB718}" id="{9A75B998-310E-6A43-97E7-CC9407E4B2C0}">
    <text>Equation 1</text>
  </threadedComment>
</ThreadedComments>
</file>

<file path=xl/threadedComments/threadedComment11.xml><?xml version="1.0" encoding="utf-8"?>
<ThreadedComments xmlns="http://schemas.microsoft.com/office/spreadsheetml/2018/threadedcomments" xmlns:x="http://schemas.openxmlformats.org/spreadsheetml/2006/main">
  <threadedComment ref="A2" dT="2023-09-14T16:39:36.76" personId="{B260C802-7A6F-F549-9603-B70C7EEDB718}" id="{E035A680-0011-AD4E-81D8-2046E9517D86}">
    <text>Add a line for each SWDS CH4 calculation instance added</text>
  </threadedComment>
</ThreadedComments>
</file>

<file path=xl/threadedComments/threadedComment12.xml><?xml version="1.0" encoding="utf-8"?>
<ThreadedComments xmlns="http://schemas.microsoft.com/office/spreadsheetml/2018/threadedcomments" xmlns:x="http://schemas.openxmlformats.org/spreadsheetml/2006/main">
  <threadedComment ref="A3" dT="2023-09-20T20:07:43.23" personId="{B260C802-7A6F-F549-9603-B70C7EEDB718}" id="{91F5F009-7414-E444-B521-C50F439C59B4}">
    <text xml:space="preserve">Add a line for each transportation activity (f). </text>
  </threadedComment>
</ThreadedComments>
</file>

<file path=xl/threadedComments/threadedComment13.xml><?xml version="1.0" encoding="utf-8"?>
<ThreadedComments xmlns="http://schemas.microsoft.com/office/spreadsheetml/2018/threadedcomments" xmlns:x="http://schemas.openxmlformats.org/spreadsheetml/2006/main">
  <threadedComment ref="F9" dT="2023-10-02T17:56:34.11" personId="{3B8ACD1D-38B5-9C45-887D-916F3D034C65}" id="{ACDF3E79-6A4B-704E-92FE-DA0B9DA87822}">
    <text>Eq 2</text>
  </threadedComment>
  <threadedComment ref="F16" dT="2023-10-02T18:19:24.82" personId="{3B8ACD1D-38B5-9C45-887D-916F3D034C65}" id="{4274C863-2A82-1B44-A646-5FB740BCF84E}">
    <text>Tool 05</text>
  </threadedComment>
  <threadedComment ref="F20" dT="2023-10-02T18:19:14.96" personId="{3B8ACD1D-38B5-9C45-887D-916F3D034C65}" id="{EB7794F0-BEF7-5C45-918C-912DF960379F}">
    <text>Tool 03</text>
  </threadedComment>
  <threadedComment ref="F22" dT="2023-10-02T18:22:40.35" personId="{3B8ACD1D-38B5-9C45-887D-916F3D034C65}" id="{B5D9AEF8-A625-CF4B-87CF-D8C8960EF7E1}">
    <text>Eq 4</text>
  </threadedComment>
  <threadedComment ref="F27" dT="2023-10-02T20:18:08.28" personId="{3B8ACD1D-38B5-9C45-887D-916F3D034C65}" id="{11E774C7-9FC9-9B41-A51F-DC2F959ED823}">
    <text>Eq 5</text>
  </threadedComment>
  <threadedComment ref="F28" dT="2023-10-02T19:25:26.05" personId="{3B8ACD1D-38B5-9C45-887D-916F3D034C65}" id="{D8053A43-10DD-E74D-A7F8-28902C0AD6CE}">
    <text>Eq 6 for option 1 and default for option 2</text>
  </threadedComment>
  <threadedComment ref="F43" dT="2023-10-02T20:26:17.53" personId="{3B8ACD1D-38B5-9C45-887D-916F3D034C65}" id="{5DB67B6D-FE36-264E-8BAD-BD756DD822B5}">
    <text>Eq 7</text>
  </threadedComment>
  <threadedComment ref="F44" dT="2023-10-02T19:35:41.62" personId="{3B8ACD1D-38B5-9C45-887D-916F3D034C65}" id="{BB7301B7-24AF-6340-9190-97B6F4F01B21}">
    <text>Eq 8 for option 1 and default for option 2</text>
  </threadedComment>
  <threadedComment ref="F49" dT="2023-10-02T20:09:00.29" personId="{3B8ACD1D-38B5-9C45-887D-916F3D034C65}" id="{0D65D85D-A7FC-6743-AA67-094B5BF4C11F}">
    <text xml:space="preserve">Eq 9 with if/then for run-off wastewater that is collected and re-circulated </text>
  </threadedComment>
</ThreadedComments>
</file>

<file path=xl/threadedComments/threadedComment14.xml><?xml version="1.0" encoding="utf-8"?>
<ThreadedComments xmlns="http://schemas.microsoft.com/office/spreadsheetml/2018/threadedcomments" xmlns:x="http://schemas.openxmlformats.org/spreadsheetml/2006/main">
  <threadedComment ref="F6" dT="2023-08-10T14:56:00.30" personId="{3B8ACD1D-38B5-9C45-887D-916F3D034C65}" id="{13DF5B52-281B-DB48-9258-44E769F6C8DB}">
    <text>Eq 1</text>
  </threadedComment>
  <threadedComment ref="F11" dT="2023-08-10T14:56:07.23" personId="{3B8ACD1D-38B5-9C45-887D-916F3D034C65}" id="{34373172-DF46-FB44-BE7F-57B491CF25F5}">
    <text>Eq 2</text>
  </threadedComment>
  <threadedComment ref="F13" dT="2023-08-14T21:55:53.61" personId="{3B8ACD1D-38B5-9C45-887D-916F3D034C65}" id="{5FE5A2B3-6BDF-9D4E-B427-53E0E330EC59}">
    <text>At least monthly recording of data</text>
  </threadedComment>
  <threadedComment ref="F16" dT="2023-08-10T14:56:16.16" personId="{3B8ACD1D-38B5-9C45-887D-916F3D034C65}" id="{5EEB626A-159D-DE4A-A1E2-890D0A605219}">
    <text>Eq 3</text>
  </threadedComment>
  <threadedComment ref="F22" dT="2023-08-22T01:12:00.32" personId="{3B8ACD1D-38B5-9C45-887D-916F3D034C65}" id="{0E4206E0-14EC-F74D-9A54-93748DECF8D4}">
    <text>Eq 7</text>
  </threadedComment>
  <threadedComment ref="F23" dT="2023-08-22T01:12:36.84" personId="{3B8ACD1D-38B5-9C45-887D-916F3D034C65}" id="{068FE9D5-DECF-A24C-9C95-39EFEB0988EB}">
    <text>Eq 8</text>
  </threadedComment>
  <threadedComment ref="F37" dT="2023-08-10T15:56:01.08" personId="{3B8ACD1D-38B5-9C45-887D-916F3D034C65}" id="{56CCB49C-1569-784D-A262-DDA8C65308B8}">
    <text>Eq 4</text>
  </threadedComment>
  <threadedComment ref="F38" dT="2023-08-10T21:11:09.42" personId="{3B8ACD1D-38B5-9C45-887D-916F3D034C65}" id="{74C99BB0-B7A7-CB45-A36D-C2C88292F4F3}">
    <text>Eq 5</text>
  </threadedComment>
</ThreadedComments>
</file>

<file path=xl/threadedComments/threadedComment15.xml><?xml version="1.0" encoding="utf-8"?>
<ThreadedComments xmlns="http://schemas.microsoft.com/office/spreadsheetml/2018/threadedcomments" xmlns:x="http://schemas.openxmlformats.org/spreadsheetml/2006/main">
  <threadedComment ref="F3" dT="2023-08-10T15:56:01.08" personId="{3B8ACD1D-38B5-9C45-887D-916F3D034C65}" id="{A13E5554-0619-AE46-968D-106D8399B580}">
    <text>Eq 4</text>
  </threadedComment>
  <threadedComment ref="F4" dT="2023-08-10T21:11:09.42" personId="{3B8ACD1D-38B5-9C45-887D-916F3D034C65}" id="{83B63896-A890-754A-9A69-8F4020F8AAE3}">
    <text>Eq 5</text>
  </threadedComment>
  <threadedComment ref="F7" dT="2023-08-10T15:56:01.08" personId="{3B8ACD1D-38B5-9C45-887D-916F3D034C65}" id="{FD752F9F-8934-D54E-AF03-12EC84329E9A}">
    <text>Eq 4</text>
  </threadedComment>
  <threadedComment ref="F8" dT="2023-08-10T21:11:09.42" personId="{3B8ACD1D-38B5-9C45-887D-916F3D034C65}" id="{CA5D8B72-FD0E-954C-AF5A-FDF0D290271B}">
    <text>Eq 5</text>
  </threadedComment>
  <threadedComment ref="F10" dT="2023-08-10T21:00:37.41" personId="{3B8ACD1D-38B5-9C45-887D-916F3D034C65}" id="{74F3303C-9181-8B43-B1AA-DA459F9E30DE}">
    <text>Assumptions are made for this that the unit for FCn,i,t is in metric tons</text>
  </threadedComment>
  <threadedComment ref="G10" dT="2023-08-10T19:37:59.63" personId="{3B8ACD1D-38B5-9C45-887D-916F3D034C65}" id="{85CACEF7-FD90-0640-8432-23FE95927B1C}">
    <text>Dependent on fuel type selection</text>
  </threadedComment>
  <threadedComment ref="G11" dT="2023-08-10T19:38:12.02" personId="{3B8ACD1D-38B5-9C45-887D-916F3D034C65}" id="{7ED628FB-3051-514C-BB85-69262E13D1DF}">
    <text>Dependent on fuel type selection</text>
  </threadedComment>
  <threadedComment ref="F12" dT="2023-08-10T20:53:47.04" personId="{3B8ACD1D-38B5-9C45-887D-916F3D034C65}" id="{D8A2B1E3-3D2A-B241-8640-00C38FEECED4}">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19" dT="2023-08-10T15:56:01.08" personId="{3B8ACD1D-38B5-9C45-887D-916F3D034C65}" id="{A3A60352-E1FA-A947-864B-2AABC672A5E8}">
    <text>Eq 4</text>
  </threadedComment>
  <threadedComment ref="F20" dT="2023-08-10T21:11:09.42" personId="{3B8ACD1D-38B5-9C45-887D-916F3D034C65}" id="{560BED46-B5E4-3A4F-9AD7-762439EA04AE}">
    <text>Eq 5</text>
  </threadedComment>
  <threadedComment ref="F22" dT="2023-08-10T21:00:37.41" personId="{3B8ACD1D-38B5-9C45-887D-916F3D034C65}" id="{51A209CF-A9F6-7149-8A7F-5933A9014BF7}">
    <text>Assumptions are made for this that the unit for FCn,i,t is in metric tons</text>
  </threadedComment>
  <threadedComment ref="G22" dT="2023-08-10T19:37:59.63" personId="{3B8ACD1D-38B5-9C45-887D-916F3D034C65}" id="{232D33BD-8D43-FB44-9596-6880FD334E3F}">
    <text>Dependent on fuel type selection</text>
  </threadedComment>
  <threadedComment ref="G23" dT="2023-08-10T19:38:12.02" personId="{3B8ACD1D-38B5-9C45-887D-916F3D034C65}" id="{2F69D32C-9C76-4541-99FA-F81E9E98351E}">
    <text>Dependent on fuel type selection</text>
  </threadedComment>
  <threadedComment ref="F24" dT="2023-08-10T20:53:47.04" personId="{3B8ACD1D-38B5-9C45-887D-916F3D034C65}" id="{24129261-6858-214E-B403-2F0B825C4974}">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31" dT="2023-08-10T15:56:01.08" personId="{3B8ACD1D-38B5-9C45-887D-916F3D034C65}" id="{5D2858CD-80C9-1644-A823-5040C8191504}">
    <text>Eq 4</text>
  </threadedComment>
  <threadedComment ref="F32" dT="2023-08-10T21:11:09.42" personId="{3B8ACD1D-38B5-9C45-887D-916F3D034C65}" id="{564BBBB9-8C20-AD46-9A3E-C9D037A5E00C}">
    <text>Eq 5</text>
  </threadedComment>
  <threadedComment ref="F34" dT="2023-08-10T21:00:37.41" personId="{3B8ACD1D-38B5-9C45-887D-916F3D034C65}" id="{B10FFF3A-B5F4-8E48-B11C-75210016BB1A}">
    <text>Assumptions are made for this that the unit for FCn,i,t is in metric tons</text>
  </threadedComment>
  <threadedComment ref="G34" dT="2023-08-10T19:37:59.63" personId="{3B8ACD1D-38B5-9C45-887D-916F3D034C65}" id="{14FC21B3-EC09-4445-994F-6163C49C4B35}">
    <text>Dependent on fuel type selection</text>
  </threadedComment>
  <threadedComment ref="G35" dT="2023-08-10T19:38:12.02" personId="{3B8ACD1D-38B5-9C45-887D-916F3D034C65}" id="{092C5A7C-B63A-7B40-BD2E-8CC0A58A6DA9}">
    <text>Dependent on fuel type selection</text>
  </threadedComment>
  <threadedComment ref="F36" dT="2023-08-10T20:53:47.04" personId="{3B8ACD1D-38B5-9C45-887D-916F3D034C65}" id="{D472D3F2-5D97-BF4A-A7C9-B2601373F8E8}">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s>
</file>

<file path=xl/threadedComments/threadedComment16.xml><?xml version="1.0" encoding="utf-8"?>
<ThreadedComments xmlns="http://schemas.microsoft.com/office/spreadsheetml/2018/threadedcomments" xmlns:x="http://schemas.openxmlformats.org/spreadsheetml/2006/main">
  <threadedComment ref="D3" dT="2023-08-10T16:26:52.04" personId="{3B8ACD1D-38B5-9C45-887D-916F3D034C65}" id="{A68D3C9A-297B-204C-B544-2D564DF5A4A2}">
    <text>Upper Default Value at the 95% confidence interval</text>
  </threadedComment>
</ThreadedComments>
</file>

<file path=xl/threadedComments/threadedComment17.xml><?xml version="1.0" encoding="utf-8"?>
<ThreadedComments xmlns="http://schemas.microsoft.com/office/spreadsheetml/2018/threadedcomments" xmlns:x="http://schemas.openxmlformats.org/spreadsheetml/2006/main">
  <threadedComment ref="F11" dT="2023-08-04T20:12:15.49" personId="{3B8ACD1D-38B5-9C45-887D-916F3D034C65}" id="{38979878-5ADC-A942-ADA2-B04272C7BE7C}">
    <text>Tool 04 has to be digitized in order to use monitored data for Option 2 (solid waste)</text>
  </threadedComment>
  <threadedComment ref="D13" dT="2023-08-03T18:04:10.78" personId="{3B8ACD1D-38B5-9C45-887D-916F3D034C65}" id="{7A6086A9-8292-C644-980C-B5063B1B3BAA}">
    <text>Eq 1</text>
  </threadedComment>
  <threadedComment ref="D14" dT="2023-09-05T15:07:52.37" personId="{7CDFD77F-7EE0-844F-B674-02F9AC6590B4}" id="{12C9DD9D-460B-A04F-93CF-01DDE4FE84BA}">
    <text>Eq 3</text>
  </threadedComment>
  <threadedComment ref="D15" dT="2023-09-05T15:07:28.89" personId="{7CDFD77F-7EE0-844F-B674-02F9AC6590B4}" id="{4219A4FD-EA03-EB4F-91B3-335421DE3FA7}">
    <text>Tool 05</text>
  </threadedComment>
  <threadedComment ref="F15" dT="2023-08-16T19:23:01.18" personId="{3B8ACD1D-38B5-9C45-887D-916F3D034C65}" id="{E0DE011C-1B8B-DE49-98FC-94B955BED289}">
    <text>Comes from tool 03</text>
  </threadedComment>
  <threadedComment ref="D16" dT="2023-09-05T15:07:12.12" personId="{7CDFD77F-7EE0-844F-B674-02F9AC6590B4}" id="{A6C2923A-E46A-8742-9F9B-2C9370252301}">
    <text>Eq 4</text>
  </threadedComment>
  <threadedComment ref="D19" dT="2023-08-03T18:14:45.92" personId="{3B8ACD1D-38B5-9C45-887D-916F3D034C65}" id="{0D36E557-F3BD-184D-B14B-14F1CCFA729C}">
    <text>Eq 4</text>
  </threadedComment>
  <threadedComment ref="D19" dT="2023-08-03T18:42:23.82" personId="{3B8ACD1D-38B5-9C45-887D-916F3D034C65}" id="{C21E758A-1C46-384C-84B0-94F58AC88E9A}" parentId="{0D36E557-F3BD-184D-B14B-14F1CCFA729C}">
    <text xml:space="preserve">Tool 8 Tool to determine the mass flow of a greenhouse gas in a gaseous stream </text>
  </threadedComment>
  <threadedComment ref="D24" dT="2023-08-03T18:14:38.43" personId="{3B8ACD1D-38B5-9C45-887D-916F3D034C65}" id="{BBF4D488-767F-B943-8CB5-AC97AC299E4D}">
    <text>Eq 3</text>
  </threadedComment>
  <threadedComment ref="D28" dT="2023-08-03T18:19:12.73" personId="{3B8ACD1D-38B5-9C45-887D-916F3D034C65}" id="{EBD7E3CD-C547-3549-8039-BE0F86AF6AB0}">
    <text>Eq 9</text>
  </threadedComment>
  <threadedComment ref="D29" dT="2023-08-03T18:26:53.25" personId="{3B8ACD1D-38B5-9C45-887D-916F3D034C65}" id="{ABBD3260-C667-2A4D-A334-C9BDA72C3601}">
    <text>Eq 15</text>
  </threadedComment>
  <threadedComment ref="D31" dT="2023-08-03T18:22:54.67" personId="{3B8ACD1D-38B5-9C45-887D-916F3D034C65}" id="{4C8ECBED-89FA-7643-B535-9A8CF7BDB4B7}">
    <text>Eq 10</text>
  </threadedComment>
  <threadedComment ref="F34" dT="2023-08-03T18:35:58.01" personId="{3B8ACD1D-38B5-9C45-887D-916F3D034C65}" id="{7EE4BB86-5743-0841-A4EB-12C23C36EBB4}">
    <text>Methane</text>
  </threadedComment>
  <threadedComment ref="D37" dT="2023-08-03T18:26:34.28" personId="{3B8ACD1D-38B5-9C45-887D-916F3D034C65}" id="{215AC681-3611-C345-A2A9-5EDCEAA139E4}">
    <text>Eq 16</text>
  </threadedComment>
  <threadedComment ref="D38" dT="2023-08-03T18:29:23.16" personId="{3B8ACD1D-38B5-9C45-887D-916F3D034C65}" id="{D127BAA1-52D8-2A40-9B68-71DDC4293E9C}">
    <text>Eq 17</text>
  </threadedComment>
  <threadedComment ref="D42" dT="2023-08-03T18:52:20.08" personId="{3B8ACD1D-38B5-9C45-887D-916F3D034C65}" id="{C4506358-98B6-8A40-BF1F-F066DB109C08}">
    <text>Eq 2</text>
  </threadedComment>
  <threadedComment ref="B46" dT="2023-08-04T20:02:42.42" personId="{3B8ACD1D-38B5-9C45-887D-916F3D034C65}" id="{63FF5038-2BE2-4F48-9D5A-110903A8F998}">
    <text>This data comes from tool 05</text>
  </threadedComment>
  <threadedComment ref="D47" dT="2023-08-10T14:56:00.30" personId="{3B8ACD1D-38B5-9C45-887D-916F3D034C65}" id="{24C3E646-F243-3746-AF4D-C40AE42FC62B}">
    <text>Eq 1</text>
  </threadedComment>
  <threadedComment ref="D47" dT="2023-08-16T20:12:59.41" personId="{3B8ACD1D-38B5-9C45-887D-916F3D034C65}" id="{D8A91826-6F1E-6F40-AA88-FC9257AB7FD9}" parentId="{24C3E646-F243-3746-AF4D-C40AE42FC62B}">
    <text>Tool 05</text>
  </threadedComment>
  <threadedComment ref="F47" dT="2023-09-05T15:35:58.86" personId="{7CDFD77F-7EE0-844F-B674-02F9AC6590B4}" id="{E1E479F9-A8B6-3C4D-9312-CAC1ACF72B8E}">
    <text>If you are using Tool 14 please link this field to appropriate field in Tool 05</text>
  </threadedComment>
  <threadedComment ref="D49" dT="2023-08-03T19:33:15.39" personId="{3B8ACD1D-38B5-9C45-887D-916F3D034C65}" id="{6902EE91-763B-1A4E-B922-E059F15D852D}">
    <text>Eq 3</text>
  </threadedComment>
  <threadedComment ref="B53" dT="2023-08-04T20:03:23.24" personId="{3B8ACD1D-38B5-9C45-887D-916F3D034C65}" id="{B940C169-0245-1C4D-A31A-875B49A7AF43}">
    <text>This data comes from tool 05</text>
  </threadedComment>
  <threadedComment ref="D54" dT="2023-08-10T14:56:00.30" personId="{3B8ACD1D-38B5-9C45-887D-916F3D034C65}" id="{47F00C26-5A94-DB4A-BEE2-D3BBC98302B8}">
    <text>Eq 1</text>
  </threadedComment>
  <threadedComment ref="D54" dT="2023-08-16T20:15:28.34" personId="{3B8ACD1D-38B5-9C45-887D-916F3D034C65}" id="{BE779D5E-66C8-DF4C-8A58-F1E1A6BA00EB}" parentId="{47F00C26-5A94-DB4A-BEE2-D3BBC98302B8}">
    <text>Tool 05</text>
  </threadedComment>
  <threadedComment ref="F54" dT="2023-09-05T15:35:58.86" personId="{7CDFD77F-7EE0-844F-B674-02F9AC6590B4}" id="{3AB1F360-0011-AB43-B4EE-BD9612242144}">
    <text>If you are using Tool 14 please link this field to appropriate field in Tool 03</text>
  </threadedComment>
  <threadedComment ref="D56" dT="2023-08-03T19:41:13.38" personId="{3B8ACD1D-38B5-9C45-887D-916F3D034C65}" id="{C17C3A28-69D7-D54F-BAAB-E819E36E7B13}">
    <text>Eq 4</text>
  </threadedComment>
  <threadedComment ref="B60" dT="2023-08-04T20:13:11.89" personId="{3B8ACD1D-38B5-9C45-887D-916F3D034C65}" id="{1793F5AB-EB20-914C-87A5-F79F7F1533BF}">
    <text>Data comes from Tool 06</text>
  </threadedComment>
  <threadedComment ref="D61" dT="2023-08-16T20:17:50.63" personId="{3B8ACD1D-38B5-9C45-887D-916F3D034C65}" id="{E90DA75D-799B-CE4E-8AA3-45530364453C}">
    <text>Tool 06</text>
  </threadedComment>
  <threadedComment ref="D61" dT="2023-08-16T20:18:06.74" personId="{3B8ACD1D-38B5-9C45-887D-916F3D034C65}" id="{19E2DE42-42F7-EF46-86CF-F62BB131B6BF}" parentId="{E90DA75D-799B-CE4E-8AA3-45530364453C}">
    <text>Eq 15</text>
  </threadedComment>
  <threadedComment ref="F61" dT="2023-09-05T15:35:58.86" personId="{7CDFD77F-7EE0-844F-B674-02F9AC6590B4}" id="{4C305CED-7871-CD45-B3DE-367913F5BA65}">
    <text>If you are using Tool 14 please link this field to appropriate field in Tool 06</text>
  </threadedComment>
  <threadedComment ref="D63" dT="2023-08-04T19:24:29.94" personId="{3B8ACD1D-38B5-9C45-887D-916F3D034C65}" id="{13D5B906-3F93-DB4C-8FA7-875FB4BB9D50}">
    <text>Eq 5</text>
  </threadedComment>
  <threadedComment ref="F65" dT="2023-08-16T20:23:28.26" personId="{3B8ACD1D-38B5-9C45-887D-916F3D034C65}" id="{4DB0E94B-B5AE-C64D-9DE5-3389103D6905}">
    <text xml:space="preserve">Value of 0 until methodological tool “Project and leakage emissions from composting” is digitized. </text>
  </threadedComment>
  <threadedComment ref="D67" dT="2023-08-04T19:42:52.91" personId="{3B8ACD1D-38B5-9C45-887D-916F3D034C65}" id="{54DEF023-BA8B-2D41-9F60-7652F5CE9D13}">
    <text>Eq 6</text>
  </threadedComment>
  <threadedComment ref="D74" dT="2023-08-04T19:47:05.88" personId="{3B8ACD1D-38B5-9C45-887D-916F3D034C65}" id="{8DCD0FD1-CE68-D348-8563-B0D01E5BB7D6}">
    <text>Eq 7</text>
  </threadedComment>
  <threadedComment ref="D79" dT="2023-08-04T19:52:24.79" personId="{3B8ACD1D-38B5-9C45-887D-916F3D034C65}" id="{16DB5DC7-93A8-EC4E-88BB-691D1C5528D0}">
    <text>Eq 8</text>
  </threadedComment>
</ThreadedComments>
</file>

<file path=xl/threadedComments/threadedComment2.xml><?xml version="1.0" encoding="utf-8"?>
<ThreadedComments xmlns="http://schemas.microsoft.com/office/spreadsheetml/2018/threadedcomments" xmlns:x="http://schemas.openxmlformats.org/spreadsheetml/2006/main">
  <threadedComment ref="F3" dT="2023-08-25T14:21:06.76" personId="{73129C60-866E-D644-A6F0-91E6FD82297F}" id="{47BEF09F-2237-6A4E-9F83-C7A861BFD732}">
    <text>Equation #2</text>
  </threadedComment>
  <threadedComment ref="F4" dT="2023-08-25T00:19:21.91" personId="{73129C60-866E-D644-A6F0-91E6FD82297F}" id="{5E666D6B-195E-594C-BC1A-A94C672C0C5A}">
    <text>Equation #3</text>
  </threadedComment>
  <threadedComment ref="F5" dT="2023-08-25T00:18:56.69" personId="{73129C60-866E-D644-A6F0-91E6FD82297F}" id="{7C904CC1-014C-1241-9CBD-5012D6B28AB1}">
    <text>Equation #4</text>
  </threadedComment>
  <threadedComment ref="F7" dT="2023-08-25T00:19:21.91" personId="{73129C60-866E-D644-A6F0-91E6FD82297F}" id="{1FDB6489-F7A5-FE49-9434-14FD30C74D7E}">
    <text>Equation #3</text>
  </threadedComment>
  <threadedComment ref="F13" dT="2023-08-25T00:18:56.69" personId="{73129C60-866E-D644-A6F0-91E6FD82297F}" id="{1534E144-76E0-484B-9E8D-139044FD747A}">
    <text>Equation #4</text>
  </threadedComment>
  <threadedComment ref="F14" dT="2023-08-25T00:16:17.15" personId="{73129C60-866E-D644-A6F0-91E6FD82297F}" id="{C9499978-D265-1747-A973-8BDC8844EE15}">
    <text>Equation #5</text>
  </threadedComment>
  <threadedComment ref="F15" dT="2023-08-25T00:20:26.10" personId="{73129C60-866E-D644-A6F0-91E6FD82297F}" id="{015BBE73-07A0-5746-8EE0-33C2307C3846}">
    <text>Equation #6</text>
  </threadedComment>
  <threadedComment ref="F21" dT="2023-08-25T22:49:02.52" personId="{73129C60-866E-D644-A6F0-91E6FD82297F}" id="{ACE94F3F-8B89-1944-842F-A070A95511A4}">
    <text>Equation #9 &amp; #10</text>
  </threadedComment>
</ThreadedComments>
</file>

<file path=xl/threadedComments/threadedComment3.xml><?xml version="1.0" encoding="utf-8"?>
<ThreadedComments xmlns="http://schemas.microsoft.com/office/spreadsheetml/2018/threadedcomments" xmlns:x="http://schemas.openxmlformats.org/spreadsheetml/2006/main">
  <threadedComment ref="F3" dT="2023-09-13T16:19:47.75" personId="{9EC0D274-6794-5F42-A337-2C5A06685BFF}" id="{96413492-89CB-1346-A969-10A5DAF48899}">
    <text>Equation #8</text>
  </threadedComment>
  <threadedComment ref="F6" dT="2023-08-25T22:49:02.52" personId="{73129C60-866E-D644-A6F0-91E6FD82297F}" id="{39B5FC09-36EF-4042-B88D-C5D3BCF4E8BB}">
    <text>Equation #9 &amp; #10</text>
  </threadedComment>
</ThreadedComments>
</file>

<file path=xl/threadedComments/threadedComment4.xml><?xml version="1.0" encoding="utf-8"?>
<ThreadedComments xmlns="http://schemas.microsoft.com/office/spreadsheetml/2018/threadedcomments" xmlns:x="http://schemas.openxmlformats.org/spreadsheetml/2006/main">
  <threadedComment ref="D13" dT="2023-08-10T14:56:00.30" personId="{3B8ACD1D-38B5-9C45-887D-916F3D034C65}" id="{50DF4D10-78D1-A246-94AB-E2488B238C12}">
    <text>Eq 1</text>
  </threadedComment>
  <threadedComment ref="D14" dT="2023-08-10T14:56:07.23" personId="{3B8ACD1D-38B5-9C45-887D-916F3D034C65}" id="{2C3C8DF5-5A03-CF4C-8B83-6D3A8C9A5477}">
    <text>Eq 2</text>
  </threadedComment>
  <threadedComment ref="D15" dT="2023-08-10T14:56:16.16" personId="{3B8ACD1D-38B5-9C45-887D-916F3D034C65}" id="{01C6149E-1508-524A-945B-0ADE0B002144}">
    <text>Eq 3</text>
  </threadedComment>
  <threadedComment ref="D17" dT="2023-08-14T21:55:53.61" personId="{3B8ACD1D-38B5-9C45-887D-916F3D034C65}" id="{9A890B58-A3C4-D045-817E-ECB4844F586E}">
    <text>At least monthly recording of data</text>
  </threadedComment>
  <threadedComment ref="D32" dT="2023-08-10T15:56:01.08" personId="{3B8ACD1D-38B5-9C45-887D-916F3D034C65}" id="{F986090D-1218-6B46-B44B-74DD127FD485}">
    <text>Eq 4</text>
  </threadedComment>
  <threadedComment ref="D33" dT="2023-08-10T21:11:09.42" personId="{3B8ACD1D-38B5-9C45-887D-916F3D034C65}" id="{B0700A71-E995-CE49-9686-3CA56980D407}">
    <text>Eq 5</text>
  </threadedComment>
  <threadedComment ref="D38" dT="2023-08-22T01:12:00.32" personId="{3B8ACD1D-38B5-9C45-887D-916F3D034C65}" id="{EE178F5C-F144-4A41-866C-F7C8B937D2D9}">
    <text>Eq 7</text>
  </threadedComment>
  <threadedComment ref="D39" dT="2023-08-22T01:12:36.84" personId="{3B8ACD1D-38B5-9C45-887D-916F3D034C65}" id="{2012AED2-402B-9849-B04F-DBCDE954E838}">
    <text>Eq 8</text>
  </threadedComment>
</ThreadedComments>
</file>

<file path=xl/threadedComments/threadedComment5.xml><?xml version="1.0" encoding="utf-8"?>
<ThreadedComments xmlns="http://schemas.microsoft.com/office/spreadsheetml/2018/threadedcomments" xmlns:x="http://schemas.openxmlformats.org/spreadsheetml/2006/main">
  <threadedComment ref="D4" dT="2023-08-10T15:56:01.08" personId="{3B8ACD1D-38B5-9C45-887D-916F3D034C65}" id="{A9F0A8B4-8A10-244F-BDF1-555B6246E284}">
    <text>Eq 4</text>
  </threadedComment>
  <threadedComment ref="D5" dT="2023-08-10T21:11:09.42" personId="{3B8ACD1D-38B5-9C45-887D-916F3D034C65}" id="{954605C6-B922-D947-A100-CF3FA256E165}">
    <text>Eq 5</text>
  </threadedComment>
  <threadedComment ref="D7" dT="2023-08-10T20:53:47.04" personId="{3B8ACD1D-38B5-9C45-887D-916F3D034C65}" id="{3781ADA5-8DB0-A448-A132-381004A37873}">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D8" dT="2023-08-10T21:00:37.41" personId="{3B8ACD1D-38B5-9C45-887D-916F3D034C65}" id="{8D75F897-818B-A145-A462-FFAA3B0692B8}">
    <text>Assumptions are made for this that the unit for FCn,i,t is in metric tons</text>
  </threadedComment>
  <threadedComment ref="F8" dT="2023-08-10T19:37:59.63" personId="{3B8ACD1D-38B5-9C45-887D-916F3D034C65}" id="{5DF08E18-CD12-7D45-BF19-5F79BF6B2CD4}">
    <text>Dependent on fuel type selection</text>
  </threadedComment>
  <threadedComment ref="F9" dT="2023-08-10T19:38:12.02" personId="{3B8ACD1D-38B5-9C45-887D-916F3D034C65}" id="{9CA641B5-4027-6646-B3E5-6C43EE408685}">
    <text>Dependent on fuel type selection</text>
  </threadedComment>
  <threadedComment ref="D16" dT="2023-08-10T15:56:01.08" personId="{3B8ACD1D-38B5-9C45-887D-916F3D034C65}" id="{6ED6D34C-6D01-8E40-85B1-99595BDEFB7C}">
    <text>Eq 4</text>
  </threadedComment>
  <threadedComment ref="D17" dT="2023-08-10T21:11:09.42" personId="{3B8ACD1D-38B5-9C45-887D-916F3D034C65}" id="{1C64BDEE-208F-A24E-BA90-4B81FC663C41}">
    <text>Eq 5</text>
  </threadedComment>
  <threadedComment ref="D19" dT="2023-08-10T20:53:47.04" personId="{3B8ACD1D-38B5-9C45-887D-916F3D034C65}" id="{076132AE-A3C0-A040-B5CC-70DA9105E6C3}">
    <text>Unit of measurement can be cubic meters, metric ton, or liter. This seems to be confusing when it comes to the calculation. Depending on the unit of measurement used there could be errors in the final calc. This is following the methodology so I'll leave it as is.</text>
  </threadedComment>
  <threadedComment ref="F20" dT="2023-08-10T19:37:59.63" personId="{3B8ACD1D-38B5-9C45-887D-916F3D034C65}" id="{197F4523-93B7-0744-B28D-0D086E84D44F}">
    <text>Dependent on fuel type selection</text>
  </threadedComment>
  <threadedComment ref="F21" dT="2023-08-10T19:38:12.02" personId="{3B8ACD1D-38B5-9C45-887D-916F3D034C65}" id="{93F012C7-3472-104F-B1C0-F2257D5CE220}">
    <text>Dependent on fuel type selection</text>
  </threadedComment>
</ThreadedComments>
</file>

<file path=xl/threadedComments/threadedComment6.xml><?xml version="1.0" encoding="utf-8"?>
<ThreadedComments xmlns="http://schemas.microsoft.com/office/spreadsheetml/2018/threadedcomments" xmlns:x="http://schemas.openxmlformats.org/spreadsheetml/2006/main">
  <threadedComment ref="A1" dT="2023-08-10T18:36:13.31" personId="{3B8ACD1D-38B5-9C45-887D-916F3D034C65}" id="{AEE1122F-7D4A-CA43-A588-7E29EEDF1EC4}">
    <text>IPCC</text>
  </threadedComment>
  <threadedComment ref="C3" dT="2023-08-10T16:26:52.04" personId="{3B8ACD1D-38B5-9C45-887D-916F3D034C65}" id="{D5E332DB-E496-304F-B428-B3F3BC4D00EF}">
    <text>Upper Default Value at the 95% confidence interval</text>
  </threadedComment>
</ThreadedComments>
</file>

<file path=xl/threadedComments/threadedComment7.xml><?xml version="1.0" encoding="utf-8"?>
<ThreadedComments xmlns="http://schemas.microsoft.com/office/spreadsheetml/2018/threadedcomments" xmlns:x="http://schemas.openxmlformats.org/spreadsheetml/2006/main">
  <threadedComment ref="B38" dT="2023-09-22T17:52:54.23" personId="{B260C802-7A6F-F549-9603-B70C7EEDB718}" id="{4AD0A42A-6877-8140-8689-9FC91231FE06}">
    <text>Equation 8</text>
  </threadedComment>
  <threadedComment ref="B43" dT="2023-09-22T17:20:03.85" personId="{B260C802-7A6F-F549-9603-B70C7EEDB718}" id="{BD8EEC06-8799-0347-B1CA-4EFD0763557E}">
    <text>Equation 7</text>
  </threadedComment>
  <threadedComment ref="B48" dT="2023-09-22T16:54:06.93" personId="{B260C802-7A6F-F549-9603-B70C7EEDB718}" id="{35374B00-2720-5941-BB60-8E0B5111779D}">
    <text>Equation 6</text>
  </threadedComment>
  <threadedComment ref="B54" dT="2023-09-22T16:20:01.99" personId="{B260C802-7A6F-F549-9603-B70C7EEDB718}" id="{B9506DCE-AF11-CE44-81A6-4E962053FCB3}">
    <text>Equation 5</text>
  </threadedComment>
  <threadedComment ref="B56" dT="2023-09-22T16:09:08.74" personId="{B260C802-7A6F-F549-9603-B70C7EEDB718}" id="{71054C9E-B351-224C-B0D4-DAA9B0367E64}">
    <text>Equation 4</text>
  </threadedComment>
  <threadedComment ref="B66" dT="2023-09-22T16:13:56.33" personId="{B260C802-7A6F-F549-9603-B70C7EEDB718}" id="{F6EC89A0-3336-814B-8062-A87F72971769}">
    <text>Equation 3</text>
  </threadedComment>
  <threadedComment ref="B70" dT="2023-09-22T16:08:33.70" personId="{B260C802-7A6F-F549-9603-B70C7EEDB718}" id="{9BB83577-66A4-4A43-A3A8-0F2EDF7A3DF0}">
    <text>Equation 2</text>
  </threadedComment>
  <threadedComment ref="B71" dT="2023-09-21T18:49:20.46" personId="{B260C802-7A6F-F549-9603-B70C7EEDB718}" id="{61200D2A-1993-DD42-84A4-8EDCF4AE0AD4}">
    <text>Equation 1</text>
  </threadedComment>
  <threadedComment ref="B79" dT="2023-09-26T23:01:53.39" personId="{B260C802-7A6F-F549-9603-B70C7EEDB718}" id="{8C865D72-62A7-2E4D-8892-926D8E0AC3E3}">
    <text>Equation 13</text>
  </threadedComment>
  <threadedComment ref="B85" dT="2023-09-22T19:29:14.23" personId="{B260C802-7A6F-F549-9603-B70C7EEDB718}" id="{BD6DD351-53E2-164C-8F7D-BB2E7E77E20E}">
    <text>Equation 11</text>
  </threadedComment>
  <threadedComment ref="B91" dT="2023-09-27T21:05:11.72" personId="{B260C802-7A6F-F549-9603-B70C7EEDB718}" id="{90C39F4A-3B6A-454B-A6E4-2CD7D2E56F75}">
    <text>Equation 9</text>
  </threadedComment>
  <threadedComment ref="B95" dT="2023-09-26T23:02:13.22" personId="{B260C802-7A6F-F549-9603-B70C7EEDB718}" id="{F8448075-48D1-1B47-B5D5-9909BC9F9F9A}">
    <text>Equation 14</text>
  </threadedComment>
  <threadedComment ref="B101" dT="2023-09-26T23:00:46.78" personId="{B260C802-7A6F-F549-9603-B70C7EEDB718}" id="{E3D281D2-1D81-2F4E-A8C7-D83FB0D8A004}">
    <text>Equation 12</text>
  </threadedComment>
  <threadedComment ref="B107" dT="2023-09-27T21:05:29.30" personId="{B260C802-7A6F-F549-9603-B70C7EEDB718}" id="{8E587252-05ED-204B-B739-57449E27678D}">
    <text>Equation 10</text>
  </threadedComment>
  <threadedComment ref="B116" dT="2023-09-26T23:05:30.00" personId="{B260C802-7A6F-F549-9603-B70C7EEDB718}" id="{6E061941-5CC7-3340-A1A2-CAEF8742798D}">
    <text>Equation 15</text>
  </threadedComment>
  <threadedComment ref="C121" dT="2023-10-09T04:00:46.39" personId="{9EC0D274-6794-5F42-A337-2C5A06685BFF}" id="{E289EC02-C909-F645-8C32-C35453A55B07}">
    <text>"Tool 12"
Linked value to get calculation to work</text>
  </threadedComment>
  <threadedComment ref="C122" dT="2023-10-09T03:57:37.76" personId="{9EC0D274-6794-5F42-A337-2C5A06685BFF}" id="{CC684342-9670-6C4F-B9F8-63FC84641A9D}">
    <text xml:space="preserve">"Parameter LEec,y from Tool 05"
</text>
  </threadedComment>
  <threadedComment ref="C123" dT="2023-10-09T03:57:59.65" personId="{9EC0D274-6794-5F42-A337-2C5A06685BFF}" id="{8E16C44E-4F76-3D46-A9EF-91EF3B324459}">
    <text xml:space="preserve">"Parameter LEfc,𝑗,𝑦  from Tool 03"
No value listed with that parameter, used PEfc,j,y
</text>
  </threadedComment>
  <threadedComment ref="C131" dT="2023-10-09T03:38:39.84" personId="{9EC0D274-6794-5F42-A337-2C5A06685BFF}" id="{507C718A-8335-7247-A0D9-32036CC1ABE4}">
    <text>"Parameter LEec,y from Tool 05"</text>
  </threadedComment>
  <threadedComment ref="C132" dT="2023-10-09T03:41:14.71" personId="{9EC0D274-6794-5F42-A337-2C5A06685BFF}" id="{8B5FA2E9-3B47-5E42-8301-E6524229EAA9}">
    <text>"Parameter LEfc,𝑗,𝑦  from Tool 03"
No value listed with that parameter, used PEfc,j,y</text>
  </threadedComment>
  <threadedComment ref="C133" dT="2023-10-09T03:46:53.78" personId="{9EC0D274-6794-5F42-A337-2C5A06685BFF}" id="{DBDB0190-F895-6643-AF0F-7D1DE68D9951}">
    <text>"Parameter  LEch4,swds,𝑦  from Tool 04"
Had to insert values for certain parameters to get a value</text>
  </threadedComment>
  <threadedComment ref="C134" dT="2023-10-09T03:49:53.49" personId="{9EC0D274-6794-5F42-A337-2C5A06685BFF}" id="{BA223470-B3E1-7040-8B62-19528D28F1F3}">
    <text>"Parameter LEcomp,y  from Tool 13"</text>
  </threadedComment>
  <threadedComment ref="C135" dT="2023-10-09T03:52:18.75" personId="{9EC0D274-6794-5F42-A337-2C5A06685BFF}" id="{CA46FD48-1294-A24E-ACB9-81A2B1C94848}">
    <text>"Parameter LEad,𝑦   from Tool 14"
Value should be pulled from 
='Tool 14'!F63
Values need to be inserted/fixed, used a placeholder of 10 for now</text>
  </threadedComment>
</ThreadedComments>
</file>

<file path=xl/threadedComments/threadedComment8.xml><?xml version="1.0" encoding="utf-8"?>
<ThreadedComments xmlns="http://schemas.microsoft.com/office/spreadsheetml/2018/threadedcomments" xmlns:x="http://schemas.openxmlformats.org/spreadsheetml/2006/main">
  <threadedComment ref="A1" dT="2023-09-28T20:33:45.05" personId="{B260C802-7A6F-F549-9603-B70C7EEDB718}" id="{7DFB6330-698B-5B42-9BE9-A696B2BABA59}">
    <text xml:space="preserve">Add one of each of the parameters and an annual total for each year added. </text>
  </threadedComment>
  <threadedComment ref="A8" dT="2023-09-28T20:38:30.46" personId="{B260C802-7A6F-F549-9603-B70C7EEDB718}" id="{0BDFA34E-BB0E-2D4C-A1A3-18AE19D6D6A5}">
    <text xml:space="preserve">Add one of each of the parameters and an annual total for each year added. </text>
  </threadedComment>
  <threadedComment ref="A13" dT="2023-09-28T20:34:08.78" personId="{B260C802-7A6F-F549-9603-B70C7EEDB718}" id="{8AD44E9D-5148-7945-952A-CBFE2DB4C508}">
    <text>Unless allowed by the methodology, only positive leakage, i.e. increased emissions outside the project boundary, can be accounted under this tool. If the result of the leakage calculation is negative, assume a value equals to zero.</text>
  </threadedComment>
</ThreadedComments>
</file>

<file path=xl/threadedComments/threadedComment9.xml><?xml version="1.0" encoding="utf-8"?>
<ThreadedComments xmlns="http://schemas.microsoft.com/office/spreadsheetml/2018/threadedcomments" xmlns:x="http://schemas.openxmlformats.org/spreadsheetml/2006/main">
  <threadedComment ref="F10" dT="2023-08-16T16:15:54.51" personId="{3B8ACD1D-38B5-9C45-887D-916F3D034C65}" id="{6DC797ED-461E-1545-87FA-1EA8D4B19253}">
    <text>Eq 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3.bin"/><Relationship Id="rId4" Type="http://schemas.microsoft.com/office/2017/10/relationships/threadedComment" Target="../threadedComments/threadedComment9.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4.bin"/><Relationship Id="rId4" Type="http://schemas.microsoft.com/office/2017/10/relationships/threadedComment" Target="../threadedComments/threadedComment10.xml"/></Relationships>
</file>

<file path=xl/worksheets/_rels/sheet15.xml.rels><?xml version="1.0" encoding="UTF-8" standalone="yes"?>
<Relationships xmlns="http://schemas.openxmlformats.org/package/2006/relationships"><Relationship Id="rId3" Type="http://schemas.microsoft.com/office/2017/10/relationships/threadedComment" Target="../threadedComments/threadedComment11.xml"/><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12.xml"/><Relationship Id="rId2" Type="http://schemas.openxmlformats.org/officeDocument/2006/relationships/comments" Target="../comments12.xml"/><Relationship Id="rId1" Type="http://schemas.openxmlformats.org/officeDocument/2006/relationships/vmlDrawing" Target="../drawings/vmlDrawing12.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13.xml"/><Relationship Id="rId2" Type="http://schemas.openxmlformats.org/officeDocument/2006/relationships/comments" Target="../comments13.xml"/><Relationship Id="rId1" Type="http://schemas.openxmlformats.org/officeDocument/2006/relationships/vmlDrawing" Target="../drawings/vmlDrawing13.vml"/></Relationships>
</file>

<file path=xl/worksheets/_rels/sheet22.xml.rels><?xml version="1.0" encoding="UTF-8" standalone="yes"?>
<Relationships xmlns="http://schemas.openxmlformats.org/package/2006/relationships"><Relationship Id="rId3" Type="http://schemas.microsoft.com/office/2017/10/relationships/threadedComment" Target="../threadedComments/threadedComment14.xml"/><Relationship Id="rId2" Type="http://schemas.openxmlformats.org/officeDocument/2006/relationships/comments" Target="../comments14.xml"/><Relationship Id="rId1" Type="http://schemas.openxmlformats.org/officeDocument/2006/relationships/vmlDrawing" Target="../drawings/vmlDrawing14.vml"/></Relationships>
</file>

<file path=xl/worksheets/_rels/sheet23.xml.rels><?xml version="1.0" encoding="UTF-8" standalone="yes"?>
<Relationships xmlns="http://schemas.openxmlformats.org/package/2006/relationships"><Relationship Id="rId3" Type="http://schemas.microsoft.com/office/2017/10/relationships/threadedComment" Target="../threadedComments/threadedComment15.xml"/><Relationship Id="rId2" Type="http://schemas.openxmlformats.org/officeDocument/2006/relationships/comments" Target="../comments15.xml"/><Relationship Id="rId1" Type="http://schemas.openxmlformats.org/officeDocument/2006/relationships/vmlDrawing" Target="../drawings/vmlDrawing15.vml"/></Relationships>
</file>

<file path=xl/worksheets/_rels/sheet24.xml.rels><?xml version="1.0" encoding="UTF-8" standalone="yes"?>
<Relationships xmlns="http://schemas.openxmlformats.org/package/2006/relationships"><Relationship Id="rId3" Type="http://schemas.microsoft.com/office/2017/10/relationships/threadedComment" Target="../threadedComments/threadedComment16.xml"/><Relationship Id="rId2" Type="http://schemas.openxmlformats.org/officeDocument/2006/relationships/comments" Target="../comments16.xml"/><Relationship Id="rId1" Type="http://schemas.openxmlformats.org/officeDocument/2006/relationships/vmlDrawing" Target="../drawings/vmlDrawing16.vml"/></Relationships>
</file>

<file path=xl/worksheets/_rels/sheet25.xml.rels><?xml version="1.0" encoding="UTF-8" standalone="yes"?>
<Relationships xmlns="http://schemas.openxmlformats.org/package/2006/relationships"><Relationship Id="rId3" Type="http://schemas.microsoft.com/office/2017/10/relationships/threadedComment" Target="../threadedComments/threadedComment17.xml"/><Relationship Id="rId2" Type="http://schemas.openxmlformats.org/officeDocument/2006/relationships/comments" Target="../comments17.xml"/><Relationship Id="rId1" Type="http://schemas.openxmlformats.org/officeDocument/2006/relationships/vmlDrawing" Target="../drawings/vmlDrawing17.v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2.bin"/><Relationship Id="rId4" Type="http://schemas.microsoft.com/office/2017/10/relationships/threadedComment" Target="../threadedComments/threadedComment4.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9.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53113-FE6C-BE48-A955-4329A92B0F29}">
  <dimension ref="A1:I129"/>
  <sheetViews>
    <sheetView topLeftCell="A33" zoomScale="81" zoomScaleNormal="100" workbookViewId="0">
      <selection activeCell="H134" sqref="H134"/>
    </sheetView>
  </sheetViews>
  <sheetFormatPr defaultColWidth="8.875" defaultRowHeight="15"/>
  <cols>
    <col min="1" max="1" width="18.125" style="7" bestFit="1" customWidth="1"/>
    <col min="2" max="2" width="21" style="7" customWidth="1"/>
    <col min="3" max="3" width="29.375" style="7" bestFit="1" customWidth="1"/>
    <col min="4" max="4" width="16.125" style="7" bestFit="1" customWidth="1"/>
    <col min="5" max="5" width="42.875" style="7" customWidth="1"/>
    <col min="6" max="6" width="16.125" style="7" customWidth="1"/>
    <col min="7" max="7" width="49.875" style="7" customWidth="1"/>
    <col min="8" max="8" width="134.625" style="7" customWidth="1"/>
    <col min="9" max="9" width="8.125" style="7" customWidth="1"/>
    <col min="10" max="16384" width="8.875" style="7"/>
  </cols>
  <sheetData>
    <row r="1" spans="1:9" s="1" customFormat="1" ht="18.95">
      <c r="A1" s="1" t="s">
        <v>0</v>
      </c>
      <c r="B1" s="1" t="s">
        <v>1</v>
      </c>
      <c r="C1" s="2" t="s">
        <v>2</v>
      </c>
      <c r="D1" s="1" t="s">
        <v>3</v>
      </c>
      <c r="E1" s="1" t="s">
        <v>4</v>
      </c>
      <c r="F1" s="1" t="s">
        <v>5</v>
      </c>
      <c r="G1" s="2" t="s">
        <v>6</v>
      </c>
      <c r="H1" s="1" t="s">
        <v>7</v>
      </c>
      <c r="I1" s="3"/>
    </row>
    <row r="2" spans="1:9" s="6" customFormat="1" ht="18.95">
      <c r="A2" s="4"/>
      <c r="B2" s="4"/>
      <c r="C2" s="5"/>
      <c r="D2" s="5"/>
      <c r="E2" s="5"/>
      <c r="F2" s="5"/>
      <c r="G2" s="4" t="s">
        <v>8</v>
      </c>
      <c r="H2" s="5"/>
    </row>
    <row r="3" spans="1:9" s="227" customFormat="1" ht="15.95">
      <c r="A3" s="223" t="s">
        <v>9</v>
      </c>
      <c r="B3" s="223"/>
      <c r="C3" s="223" t="s">
        <v>10</v>
      </c>
      <c r="D3" s="223" t="s">
        <v>11</v>
      </c>
      <c r="E3" s="224"/>
      <c r="F3" s="225" t="s">
        <v>12</v>
      </c>
      <c r="G3" s="223" t="s">
        <v>13</v>
      </c>
      <c r="H3" s="226" t="s">
        <v>14</v>
      </c>
      <c r="I3" s="223"/>
    </row>
    <row r="4" spans="1:9" s="227" customFormat="1">
      <c r="A4" s="223" t="s">
        <v>9</v>
      </c>
      <c r="B4" s="223"/>
      <c r="C4" s="223" t="s">
        <v>10</v>
      </c>
      <c r="D4" s="223" t="s">
        <v>11</v>
      </c>
      <c r="E4" s="224" t="s">
        <v>15</v>
      </c>
      <c r="F4" s="225" t="s">
        <v>12</v>
      </c>
      <c r="G4" s="223" t="s">
        <v>16</v>
      </c>
      <c r="H4" s="228" t="s">
        <v>17</v>
      </c>
      <c r="I4" s="223"/>
    </row>
    <row r="5" spans="1:9" s="227" customFormat="1">
      <c r="A5" s="223" t="s">
        <v>9</v>
      </c>
      <c r="B5" s="223"/>
      <c r="C5" s="223" t="s">
        <v>9</v>
      </c>
      <c r="D5" s="223" t="s">
        <v>11</v>
      </c>
      <c r="E5" s="224" t="s">
        <v>18</v>
      </c>
      <c r="F5" s="225" t="s">
        <v>12</v>
      </c>
      <c r="G5" s="223" t="s">
        <v>19</v>
      </c>
      <c r="H5" s="228" t="s">
        <v>20</v>
      </c>
      <c r="I5" s="223"/>
    </row>
    <row r="6" spans="1:9" s="227" customFormat="1" ht="15.95">
      <c r="A6" s="223" t="s">
        <v>9</v>
      </c>
      <c r="B6" s="223"/>
      <c r="C6" s="223" t="s">
        <v>9</v>
      </c>
      <c r="D6" s="223" t="s">
        <v>11</v>
      </c>
      <c r="E6" s="224" t="s">
        <v>21</v>
      </c>
      <c r="F6" s="225" t="s">
        <v>12</v>
      </c>
      <c r="G6" s="223" t="s">
        <v>22</v>
      </c>
      <c r="H6" s="226" t="s">
        <v>23</v>
      </c>
      <c r="I6" s="223"/>
    </row>
    <row r="7" spans="1:9" s="227" customFormat="1" ht="15.95">
      <c r="A7" s="223" t="s">
        <v>9</v>
      </c>
      <c r="B7" s="223"/>
      <c r="C7" s="223" t="s">
        <v>10</v>
      </c>
      <c r="D7" s="223" t="s">
        <v>11</v>
      </c>
      <c r="E7" s="224" t="s">
        <v>24</v>
      </c>
      <c r="F7" s="225" t="s">
        <v>12</v>
      </c>
      <c r="G7" s="223" t="s">
        <v>25</v>
      </c>
      <c r="H7" s="226" t="s">
        <v>26</v>
      </c>
      <c r="I7" s="223"/>
    </row>
    <row r="8" spans="1:9" s="227" customFormat="1" ht="15.95">
      <c r="A8" s="223" t="s">
        <v>9</v>
      </c>
      <c r="B8" s="223"/>
      <c r="C8" s="223" t="s">
        <v>9</v>
      </c>
      <c r="D8" s="223" t="s">
        <v>11</v>
      </c>
      <c r="E8" s="224" t="s">
        <v>27</v>
      </c>
      <c r="F8" s="225" t="s">
        <v>12</v>
      </c>
      <c r="G8" s="223" t="s">
        <v>28</v>
      </c>
      <c r="H8" s="226" t="s">
        <v>29</v>
      </c>
      <c r="I8" s="223"/>
    </row>
    <row r="9" spans="1:9" s="227" customFormat="1" ht="15.95">
      <c r="A9" s="223" t="s">
        <v>9</v>
      </c>
      <c r="B9" s="223"/>
      <c r="C9" s="223" t="s">
        <v>9</v>
      </c>
      <c r="D9" s="223" t="s">
        <v>11</v>
      </c>
      <c r="E9" s="224" t="s">
        <v>30</v>
      </c>
      <c r="F9" s="225" t="s">
        <v>12</v>
      </c>
      <c r="G9" s="223" t="s">
        <v>31</v>
      </c>
      <c r="H9" s="226" t="s">
        <v>32</v>
      </c>
      <c r="I9" s="223"/>
    </row>
    <row r="10" spans="1:9" s="227" customFormat="1" ht="48">
      <c r="A10" s="223" t="s">
        <v>9</v>
      </c>
      <c r="B10" s="223"/>
      <c r="C10" s="223" t="s">
        <v>9</v>
      </c>
      <c r="D10" s="223" t="s">
        <v>11</v>
      </c>
      <c r="E10" s="224" t="s">
        <v>33</v>
      </c>
      <c r="F10" s="225" t="s">
        <v>12</v>
      </c>
      <c r="G10" s="229" t="s">
        <v>34</v>
      </c>
      <c r="H10" s="226" t="s">
        <v>35</v>
      </c>
      <c r="I10" s="223"/>
    </row>
    <row r="11" spans="1:9" s="227" customFormat="1" ht="15.95">
      <c r="A11" s="223" t="s">
        <v>9</v>
      </c>
      <c r="B11" s="223"/>
      <c r="C11" s="223" t="s">
        <v>10</v>
      </c>
      <c r="D11" s="223" t="s">
        <v>11</v>
      </c>
      <c r="E11" s="224"/>
      <c r="F11" s="225" t="s">
        <v>12</v>
      </c>
      <c r="G11" s="223" t="s">
        <v>36</v>
      </c>
      <c r="H11" s="226" t="s">
        <v>37</v>
      </c>
      <c r="I11" s="223"/>
    </row>
    <row r="12" spans="1:9" s="227" customFormat="1">
      <c r="A12" s="223" t="s">
        <v>9</v>
      </c>
      <c r="B12" s="223"/>
      <c r="C12" s="223" t="s">
        <v>10</v>
      </c>
      <c r="D12" s="223" t="s">
        <v>11</v>
      </c>
      <c r="E12" s="224" t="s">
        <v>38</v>
      </c>
      <c r="F12" s="225" t="s">
        <v>12</v>
      </c>
      <c r="G12" s="223" t="s">
        <v>39</v>
      </c>
      <c r="H12" s="228" t="s">
        <v>40</v>
      </c>
      <c r="I12" s="223"/>
    </row>
    <row r="13" spans="1:9" s="227" customFormat="1">
      <c r="A13" s="223" t="s">
        <v>9</v>
      </c>
      <c r="B13" s="223"/>
      <c r="C13" s="223" t="s">
        <v>10</v>
      </c>
      <c r="D13" s="223" t="s">
        <v>41</v>
      </c>
      <c r="E13" s="224"/>
      <c r="F13" s="225" t="s">
        <v>12</v>
      </c>
      <c r="G13" s="223" t="s">
        <v>42</v>
      </c>
      <c r="H13" s="228" t="s">
        <v>43</v>
      </c>
      <c r="I13" s="223"/>
    </row>
    <row r="14" spans="1:9" s="227" customFormat="1">
      <c r="A14" s="223" t="s">
        <v>9</v>
      </c>
      <c r="B14" s="223"/>
      <c r="C14" s="223" t="s">
        <v>10</v>
      </c>
      <c r="D14" s="223" t="s">
        <v>11</v>
      </c>
      <c r="E14" s="224"/>
      <c r="F14" s="225" t="s">
        <v>12</v>
      </c>
      <c r="G14" s="223" t="s">
        <v>44</v>
      </c>
      <c r="H14" s="228" t="s">
        <v>45</v>
      </c>
      <c r="I14" s="223"/>
    </row>
    <row r="15" spans="1:9" s="227" customFormat="1">
      <c r="A15" s="223" t="s">
        <v>9</v>
      </c>
      <c r="B15" s="223"/>
      <c r="C15" s="223" t="s">
        <v>10</v>
      </c>
      <c r="D15" s="223" t="s">
        <v>46</v>
      </c>
      <c r="E15" s="224" t="s">
        <v>47</v>
      </c>
      <c r="F15" s="225" t="s">
        <v>12</v>
      </c>
      <c r="G15" s="223" t="s">
        <v>48</v>
      </c>
      <c r="H15" s="228" t="s">
        <v>49</v>
      </c>
      <c r="I15" s="223"/>
    </row>
    <row r="16" spans="1:9" s="227" customFormat="1">
      <c r="A16" s="223" t="s">
        <v>9</v>
      </c>
      <c r="B16" s="223"/>
      <c r="C16" s="223" t="s">
        <v>10</v>
      </c>
      <c r="D16" s="223" t="s">
        <v>50</v>
      </c>
      <c r="E16" s="224"/>
      <c r="F16" s="225" t="s">
        <v>12</v>
      </c>
      <c r="G16" s="223" t="s">
        <v>51</v>
      </c>
      <c r="H16" s="228" t="s">
        <v>52</v>
      </c>
      <c r="I16" s="223"/>
    </row>
    <row r="17" spans="1:9" s="227" customFormat="1">
      <c r="A17" s="223" t="s">
        <v>9</v>
      </c>
      <c r="B17" s="223"/>
      <c r="C17" s="223" t="s">
        <v>10</v>
      </c>
      <c r="D17" s="223" t="s">
        <v>53</v>
      </c>
      <c r="E17" s="224"/>
      <c r="F17" s="225" t="s">
        <v>12</v>
      </c>
      <c r="G17" s="223" t="s">
        <v>54</v>
      </c>
      <c r="H17" s="230" t="s">
        <v>55</v>
      </c>
      <c r="I17" s="223"/>
    </row>
    <row r="18" spans="1:9" s="227" customFormat="1">
      <c r="A18" s="223" t="s">
        <v>9</v>
      </c>
      <c r="B18" s="223"/>
      <c r="C18" s="223" t="s">
        <v>9</v>
      </c>
      <c r="D18" s="223" t="s">
        <v>11</v>
      </c>
      <c r="E18" s="224" t="s">
        <v>56</v>
      </c>
      <c r="F18" s="225" t="s">
        <v>12</v>
      </c>
      <c r="G18" s="223" t="s">
        <v>57</v>
      </c>
      <c r="H18" s="230"/>
      <c r="I18" s="223"/>
    </row>
    <row r="19" spans="1:9" s="227" customFormat="1">
      <c r="A19" s="223" t="s">
        <v>9</v>
      </c>
      <c r="B19" s="223"/>
      <c r="C19" s="223" t="s">
        <v>10</v>
      </c>
      <c r="D19" s="223" t="s">
        <v>11</v>
      </c>
      <c r="E19" s="224"/>
      <c r="F19" s="225" t="s">
        <v>12</v>
      </c>
      <c r="G19" s="223" t="s">
        <v>58</v>
      </c>
      <c r="H19" s="228" t="s">
        <v>10</v>
      </c>
      <c r="I19" s="223"/>
    </row>
    <row r="20" spans="1:9" s="227" customFormat="1">
      <c r="A20" s="223" t="s">
        <v>9</v>
      </c>
      <c r="B20" s="223"/>
      <c r="C20" s="223" t="s">
        <v>10</v>
      </c>
      <c r="D20" s="223" t="s">
        <v>11</v>
      </c>
      <c r="E20" s="224"/>
      <c r="F20" s="225" t="s">
        <v>12</v>
      </c>
      <c r="G20" s="223" t="s">
        <v>59</v>
      </c>
      <c r="H20" s="228" t="s">
        <v>10</v>
      </c>
      <c r="I20" s="223"/>
    </row>
    <row r="21" spans="1:9" s="227" customFormat="1" ht="15.95">
      <c r="A21" s="223" t="s">
        <v>9</v>
      </c>
      <c r="B21" s="223"/>
      <c r="C21" s="223" t="s">
        <v>9</v>
      </c>
      <c r="D21" s="223" t="s">
        <v>60</v>
      </c>
      <c r="E21" s="224" t="s">
        <v>61</v>
      </c>
      <c r="F21" s="225" t="s">
        <v>12</v>
      </c>
      <c r="G21" s="223" t="s">
        <v>62</v>
      </c>
      <c r="H21" s="231" t="s">
        <v>63</v>
      </c>
      <c r="I21" s="223"/>
    </row>
    <row r="22" spans="1:9" s="227" customFormat="1">
      <c r="A22" s="223" t="s">
        <v>9</v>
      </c>
      <c r="B22" s="223"/>
      <c r="C22" s="223" t="s">
        <v>10</v>
      </c>
      <c r="D22" s="223" t="s">
        <v>64</v>
      </c>
      <c r="E22" s="224" t="s">
        <v>65</v>
      </c>
      <c r="F22" s="225" t="s">
        <v>12</v>
      </c>
      <c r="G22" s="223" t="s">
        <v>66</v>
      </c>
      <c r="H22" s="232">
        <v>43101</v>
      </c>
      <c r="I22" s="223"/>
    </row>
    <row r="23" spans="1:9" s="227" customFormat="1">
      <c r="A23" s="223" t="s">
        <v>9</v>
      </c>
      <c r="B23" s="223"/>
      <c r="C23" s="228" t="s">
        <v>9</v>
      </c>
      <c r="D23" s="223" t="s">
        <v>67</v>
      </c>
      <c r="E23" s="224" t="s">
        <v>68</v>
      </c>
      <c r="F23" s="225" t="s">
        <v>12</v>
      </c>
      <c r="G23" s="228" t="s">
        <v>69</v>
      </c>
      <c r="H23" s="228" t="s">
        <v>70</v>
      </c>
      <c r="I23" s="223"/>
    </row>
    <row r="24" spans="1:9" s="227" customFormat="1">
      <c r="A24" s="223" t="s">
        <v>9</v>
      </c>
      <c r="B24" s="223"/>
      <c r="C24" s="228" t="s">
        <v>9</v>
      </c>
      <c r="D24" s="223" t="s">
        <v>67</v>
      </c>
      <c r="E24" s="224" t="s">
        <v>71</v>
      </c>
      <c r="F24" s="225" t="s">
        <v>12</v>
      </c>
      <c r="G24" s="228" t="s">
        <v>72</v>
      </c>
      <c r="H24" s="228" t="s">
        <v>70</v>
      </c>
      <c r="I24" s="223"/>
    </row>
    <row r="25" spans="1:9" s="227" customFormat="1">
      <c r="A25" s="223" t="s">
        <v>9</v>
      </c>
      <c r="B25" s="223"/>
      <c r="C25" s="228" t="s">
        <v>10</v>
      </c>
      <c r="D25" s="223" t="s">
        <v>11</v>
      </c>
      <c r="E25" s="224"/>
      <c r="F25" s="225" t="s">
        <v>12</v>
      </c>
      <c r="G25" s="228" t="s">
        <v>73</v>
      </c>
      <c r="H25" s="228" t="s">
        <v>74</v>
      </c>
      <c r="I25" s="223"/>
    </row>
    <row r="26" spans="1:9" s="227" customFormat="1">
      <c r="A26" s="223" t="s">
        <v>9</v>
      </c>
      <c r="B26" s="223"/>
      <c r="C26" s="228" t="s">
        <v>10</v>
      </c>
      <c r="D26" s="223" t="s">
        <v>11</v>
      </c>
      <c r="E26" s="224"/>
      <c r="F26" s="225" t="s">
        <v>12</v>
      </c>
      <c r="G26" s="227" t="s">
        <v>75</v>
      </c>
      <c r="H26" s="228"/>
      <c r="I26" s="223"/>
    </row>
    <row r="27" spans="1:9" s="227" customFormat="1">
      <c r="A27" s="223" t="s">
        <v>9</v>
      </c>
      <c r="B27" s="223"/>
      <c r="C27" s="228" t="s">
        <v>10</v>
      </c>
      <c r="D27" s="223" t="s">
        <v>11</v>
      </c>
      <c r="E27" s="224" t="s">
        <v>76</v>
      </c>
      <c r="F27" s="225" t="s">
        <v>12</v>
      </c>
      <c r="G27" s="227" t="s">
        <v>77</v>
      </c>
      <c r="H27" s="228"/>
      <c r="I27" s="223"/>
    </row>
    <row r="28" spans="1:9" s="227" customFormat="1">
      <c r="A28" s="223" t="s">
        <v>9</v>
      </c>
      <c r="B28" s="223"/>
      <c r="C28" s="228" t="s">
        <v>10</v>
      </c>
      <c r="D28" s="223" t="s">
        <v>11</v>
      </c>
      <c r="E28" s="224"/>
      <c r="F28" s="225" t="s">
        <v>12</v>
      </c>
      <c r="G28" s="227" t="s">
        <v>78</v>
      </c>
      <c r="H28" s="228"/>
      <c r="I28" s="223"/>
    </row>
    <row r="29" spans="1:9" s="6" customFormat="1" ht="18.95">
      <c r="A29" s="4"/>
      <c r="B29" s="4"/>
      <c r="C29" s="5"/>
      <c r="D29" s="5"/>
      <c r="E29" s="5"/>
      <c r="F29" s="5"/>
      <c r="G29" s="4" t="s">
        <v>79</v>
      </c>
      <c r="H29" s="5"/>
    </row>
    <row r="30" spans="1:9" s="14" customFormat="1" ht="93" customHeight="1">
      <c r="A30" s="14" t="s">
        <v>9</v>
      </c>
      <c r="C30" s="14" t="s">
        <v>10</v>
      </c>
      <c r="D30" s="14" t="s">
        <v>80</v>
      </c>
      <c r="F30" s="14" t="s">
        <v>12</v>
      </c>
      <c r="G30" s="15" t="s">
        <v>81</v>
      </c>
      <c r="H30" s="16" t="s">
        <v>82</v>
      </c>
    </row>
    <row r="31" spans="1:9" s="14" customFormat="1" ht="87" customHeight="1">
      <c r="A31" s="14" t="s">
        <v>9</v>
      </c>
      <c r="C31" s="14" t="s">
        <v>10</v>
      </c>
      <c r="D31" s="14" t="s">
        <v>80</v>
      </c>
      <c r="F31" s="14" t="s">
        <v>12</v>
      </c>
      <c r="G31" s="15" t="s">
        <v>83</v>
      </c>
      <c r="H31" s="16" t="s">
        <v>84</v>
      </c>
    </row>
    <row r="32" spans="1:9" s="14" customFormat="1" ht="84" customHeight="1">
      <c r="A32" s="14" t="s">
        <v>9</v>
      </c>
      <c r="C32" s="14" t="s">
        <v>10</v>
      </c>
      <c r="D32" s="14" t="s">
        <v>80</v>
      </c>
      <c r="F32" s="14" t="s">
        <v>12</v>
      </c>
      <c r="G32" s="15" t="s">
        <v>85</v>
      </c>
      <c r="H32" s="16" t="s">
        <v>86</v>
      </c>
    </row>
    <row r="33" spans="1:8" s="6" customFormat="1" ht="18.95">
      <c r="A33" s="4"/>
      <c r="B33" s="4"/>
      <c r="C33" s="5"/>
      <c r="D33" s="5"/>
      <c r="E33" s="5"/>
      <c r="F33" s="5"/>
      <c r="G33" s="4" t="s">
        <v>87</v>
      </c>
      <c r="H33" s="5"/>
    </row>
    <row r="34" spans="1:8" s="10" customFormat="1" ht="39" customHeight="1">
      <c r="A34" s="10" t="s">
        <v>9</v>
      </c>
      <c r="C34" s="10" t="s">
        <v>10</v>
      </c>
      <c r="D34" s="10" t="s">
        <v>88</v>
      </c>
      <c r="E34" s="233"/>
      <c r="F34" s="11" t="s">
        <v>89</v>
      </c>
      <c r="G34" s="12" t="s">
        <v>90</v>
      </c>
      <c r="H34" s="13" t="s">
        <v>91</v>
      </c>
    </row>
    <row r="35" spans="1:8" s="6" customFormat="1" ht="18.95">
      <c r="A35" s="4"/>
      <c r="B35" s="4"/>
      <c r="C35" s="5"/>
      <c r="D35" s="5"/>
      <c r="E35" s="5"/>
      <c r="F35" s="5"/>
      <c r="G35" s="4" t="s">
        <v>92</v>
      </c>
      <c r="H35" s="5"/>
    </row>
    <row r="36" spans="1:8" s="10" customFormat="1" ht="23.1" customHeight="1">
      <c r="A36" s="10" t="s">
        <v>10</v>
      </c>
      <c r="C36" s="10" t="s">
        <v>93</v>
      </c>
      <c r="D36" s="10" t="s">
        <v>88</v>
      </c>
      <c r="F36" s="11" t="s">
        <v>89</v>
      </c>
      <c r="G36" s="12" t="s">
        <v>90</v>
      </c>
      <c r="H36" s="13"/>
    </row>
    <row r="37" spans="1:8" s="10" customFormat="1" ht="23.1" customHeight="1">
      <c r="A37" s="10" t="s">
        <v>10</v>
      </c>
      <c r="C37" s="10" t="s">
        <v>93</v>
      </c>
      <c r="D37" s="10" t="s">
        <v>88</v>
      </c>
      <c r="F37" s="11" t="s">
        <v>94</v>
      </c>
      <c r="G37" s="12" t="s">
        <v>95</v>
      </c>
      <c r="H37" s="13">
        <f>SUM(H41,H56)</f>
        <v>0</v>
      </c>
    </row>
    <row r="38" spans="1:8" ht="23.1" customHeight="1">
      <c r="A38" s="7" t="s">
        <v>9</v>
      </c>
      <c r="C38" s="7" t="s">
        <v>93</v>
      </c>
      <c r="D38" s="7" t="s">
        <v>96</v>
      </c>
      <c r="F38" s="18" t="s">
        <v>97</v>
      </c>
      <c r="G38" s="8" t="s">
        <v>98</v>
      </c>
      <c r="H38" s="19"/>
    </row>
    <row r="39" spans="1:8" s="6" customFormat="1" ht="18.95">
      <c r="A39" s="4"/>
      <c r="B39" s="4"/>
      <c r="C39" s="5"/>
      <c r="D39" s="5"/>
      <c r="E39" s="5"/>
      <c r="F39" s="5"/>
      <c r="G39" s="4" t="s">
        <v>99</v>
      </c>
      <c r="H39" s="5"/>
    </row>
    <row r="40" spans="1:8">
      <c r="A40" s="56" t="s">
        <v>9</v>
      </c>
      <c r="B40" s="56"/>
      <c r="C40" s="56" t="s">
        <v>9</v>
      </c>
      <c r="D40" s="56" t="s">
        <v>11</v>
      </c>
      <c r="E40" s="56"/>
      <c r="F40" s="56" t="s">
        <v>12</v>
      </c>
      <c r="G40" s="56" t="s">
        <v>100</v>
      </c>
      <c r="H40" s="56"/>
    </row>
    <row r="41" spans="1:8" s="10" customFormat="1" ht="45" customHeight="1">
      <c r="A41" s="10" t="s">
        <v>10</v>
      </c>
      <c r="C41" s="10" t="s">
        <v>9</v>
      </c>
      <c r="D41" s="10" t="s">
        <v>88</v>
      </c>
      <c r="F41" s="11" t="s">
        <v>101</v>
      </c>
      <c r="G41" s="12" t="s">
        <v>102</v>
      </c>
      <c r="H41" s="13">
        <f>SUM(H44,H50)</f>
        <v>0</v>
      </c>
    </row>
    <row r="42" spans="1:8" s="6" customFormat="1" ht="18.95">
      <c r="A42" s="4"/>
      <c r="B42" s="4"/>
      <c r="C42" s="5"/>
      <c r="D42" s="5"/>
      <c r="E42" s="5"/>
      <c r="F42" s="5"/>
      <c r="G42" s="4" t="s">
        <v>103</v>
      </c>
      <c r="H42" s="5"/>
    </row>
    <row r="43" spans="1:8" ht="32.1">
      <c r="A43" s="56" t="s">
        <v>9</v>
      </c>
      <c r="B43" s="56"/>
      <c r="C43" s="56" t="s">
        <v>9</v>
      </c>
      <c r="D43" s="56" t="s">
        <v>11</v>
      </c>
      <c r="E43" s="56"/>
      <c r="F43" s="56" t="s">
        <v>12</v>
      </c>
      <c r="G43" s="137" t="s">
        <v>104</v>
      </c>
      <c r="H43" s="56"/>
    </row>
    <row r="44" spans="1:8" s="10" customFormat="1" ht="45" customHeight="1">
      <c r="A44" s="10" t="s">
        <v>10</v>
      </c>
      <c r="C44" s="10" t="s">
        <v>9</v>
      </c>
      <c r="D44" s="10" t="s">
        <v>88</v>
      </c>
      <c r="F44" s="11" t="s">
        <v>105</v>
      </c>
      <c r="G44" s="12" t="s">
        <v>106</v>
      </c>
      <c r="H44" s="13">
        <f>(H45*H46)/(1-H47)</f>
        <v>0</v>
      </c>
    </row>
    <row r="45" spans="1:8" ht="35.1" customHeight="1">
      <c r="A45" s="7" t="s">
        <v>9</v>
      </c>
      <c r="C45" s="7" t="s">
        <v>9</v>
      </c>
      <c r="D45" s="7" t="s">
        <v>96</v>
      </c>
      <c r="F45" s="18" t="s">
        <v>107</v>
      </c>
      <c r="G45" s="8" t="s">
        <v>108</v>
      </c>
      <c r="H45" s="19"/>
    </row>
    <row r="46" spans="1:8" ht="35.1" customHeight="1">
      <c r="A46" s="7" t="s">
        <v>9</v>
      </c>
      <c r="C46" s="7" t="s">
        <v>9</v>
      </c>
      <c r="D46" s="7" t="s">
        <v>96</v>
      </c>
      <c r="F46" s="18" t="s">
        <v>109</v>
      </c>
      <c r="G46" s="8" t="s">
        <v>110</v>
      </c>
      <c r="H46" s="19"/>
    </row>
    <row r="47" spans="1:8" ht="62.1" customHeight="1">
      <c r="A47" s="7" t="s">
        <v>9</v>
      </c>
      <c r="C47" s="7" t="s">
        <v>9</v>
      </c>
      <c r="D47" s="7" t="s">
        <v>96</v>
      </c>
      <c r="F47" s="18" t="s">
        <v>111</v>
      </c>
      <c r="G47" s="8" t="s">
        <v>112</v>
      </c>
      <c r="H47" s="19"/>
    </row>
    <row r="48" spans="1:8" s="6" customFormat="1" ht="18.95">
      <c r="A48" s="4"/>
      <c r="B48" s="4"/>
      <c r="C48" s="5"/>
      <c r="D48" s="5"/>
      <c r="E48" s="5"/>
      <c r="F48" s="5"/>
      <c r="G48" s="4" t="s">
        <v>103</v>
      </c>
      <c r="H48" s="5"/>
    </row>
    <row r="49" spans="1:8" ht="32.1">
      <c r="A49" s="56" t="s">
        <v>9</v>
      </c>
      <c r="B49" s="56"/>
      <c r="C49" s="56" t="s">
        <v>9</v>
      </c>
      <c r="D49" s="56" t="s">
        <v>11</v>
      </c>
      <c r="E49" s="56"/>
      <c r="F49" s="56" t="s">
        <v>12</v>
      </c>
      <c r="G49" s="137" t="s">
        <v>104</v>
      </c>
      <c r="H49" s="56"/>
    </row>
    <row r="50" spans="1:8" s="10" customFormat="1" ht="45" customHeight="1">
      <c r="A50" s="10" t="s">
        <v>10</v>
      </c>
      <c r="C50" s="10" t="s">
        <v>9</v>
      </c>
      <c r="D50" s="10" t="s">
        <v>88</v>
      </c>
      <c r="F50" s="11" t="s">
        <v>105</v>
      </c>
      <c r="G50" s="12" t="s">
        <v>106</v>
      </c>
      <c r="H50" s="13">
        <f>(H51*H52)/(1-H53)</f>
        <v>0</v>
      </c>
    </row>
    <row r="51" spans="1:8" ht="35.1" customHeight="1">
      <c r="A51" s="7" t="s">
        <v>9</v>
      </c>
      <c r="C51" s="7" t="s">
        <v>9</v>
      </c>
      <c r="D51" s="7" t="s">
        <v>96</v>
      </c>
      <c r="F51" s="18" t="s">
        <v>107</v>
      </c>
      <c r="G51" s="8" t="s">
        <v>108</v>
      </c>
      <c r="H51" s="19"/>
    </row>
    <row r="52" spans="1:8" ht="35.1" customHeight="1">
      <c r="A52" s="7" t="s">
        <v>9</v>
      </c>
      <c r="C52" s="7" t="s">
        <v>9</v>
      </c>
      <c r="D52" s="7" t="s">
        <v>96</v>
      </c>
      <c r="F52" s="18" t="s">
        <v>109</v>
      </c>
      <c r="G52" s="8" t="s">
        <v>110</v>
      </c>
      <c r="H52" s="19"/>
    </row>
    <row r="53" spans="1:8" ht="62.1" customHeight="1">
      <c r="A53" s="7" t="s">
        <v>9</v>
      </c>
      <c r="C53" s="7" t="s">
        <v>9</v>
      </c>
      <c r="D53" s="7" t="s">
        <v>96</v>
      </c>
      <c r="F53" s="18" t="s">
        <v>111</v>
      </c>
      <c r="G53" s="8" t="s">
        <v>112</v>
      </c>
      <c r="H53" s="19"/>
    </row>
    <row r="54" spans="1:8" s="6" customFormat="1" ht="18.95">
      <c r="A54" s="4"/>
      <c r="B54" s="4"/>
      <c r="C54" s="5"/>
      <c r="D54" s="5"/>
      <c r="E54" s="5"/>
      <c r="F54" s="5"/>
      <c r="G54" s="4" t="s">
        <v>99</v>
      </c>
      <c r="H54" s="5"/>
    </row>
    <row r="55" spans="1:8">
      <c r="A55" s="56" t="s">
        <v>9</v>
      </c>
      <c r="B55" s="56"/>
      <c r="C55" s="56" t="s">
        <v>9</v>
      </c>
      <c r="D55" s="56" t="s">
        <v>11</v>
      </c>
      <c r="E55" s="56"/>
      <c r="F55" s="56" t="s">
        <v>12</v>
      </c>
      <c r="G55" s="56" t="s">
        <v>100</v>
      </c>
      <c r="H55" s="56"/>
    </row>
    <row r="56" spans="1:8" s="10" customFormat="1" ht="45" customHeight="1">
      <c r="A56" s="10" t="s">
        <v>10</v>
      </c>
      <c r="C56" s="10" t="s">
        <v>9</v>
      </c>
      <c r="D56" s="10" t="s">
        <v>88</v>
      </c>
      <c r="F56" s="11" t="s">
        <v>101</v>
      </c>
      <c r="G56" s="12" t="s">
        <v>102</v>
      </c>
      <c r="H56" s="13">
        <f>SUM(H59,H65)</f>
        <v>0</v>
      </c>
    </row>
    <row r="57" spans="1:8" s="6" customFormat="1" ht="18.95">
      <c r="A57" s="4"/>
      <c r="B57" s="4"/>
      <c r="C57" s="5"/>
      <c r="D57" s="5"/>
      <c r="E57" s="5"/>
      <c r="F57" s="5"/>
      <c r="G57" s="4" t="s">
        <v>103</v>
      </c>
      <c r="H57" s="5"/>
    </row>
    <row r="58" spans="1:8" ht="32.1">
      <c r="A58" s="56" t="s">
        <v>9</v>
      </c>
      <c r="B58" s="56"/>
      <c r="C58" s="56" t="s">
        <v>9</v>
      </c>
      <c r="D58" s="56" t="s">
        <v>11</v>
      </c>
      <c r="E58" s="56"/>
      <c r="F58" s="56" t="s">
        <v>12</v>
      </c>
      <c r="G58" s="137" t="s">
        <v>104</v>
      </c>
      <c r="H58" s="56"/>
    </row>
    <row r="59" spans="1:8" s="10" customFormat="1" ht="45" customHeight="1">
      <c r="A59" s="10" t="s">
        <v>10</v>
      </c>
      <c r="C59" s="10" t="s">
        <v>9</v>
      </c>
      <c r="D59" s="10" t="s">
        <v>88</v>
      </c>
      <c r="F59" s="11" t="s">
        <v>105</v>
      </c>
      <c r="G59" s="12" t="s">
        <v>106</v>
      </c>
      <c r="H59" s="13">
        <f>(H60*H61)/(1-H62)</f>
        <v>0</v>
      </c>
    </row>
    <row r="60" spans="1:8" ht="35.1" customHeight="1">
      <c r="A60" s="7" t="s">
        <v>9</v>
      </c>
      <c r="C60" s="7" t="s">
        <v>9</v>
      </c>
      <c r="D60" s="7" t="s">
        <v>96</v>
      </c>
      <c r="F60" s="18" t="s">
        <v>107</v>
      </c>
      <c r="G60" s="8" t="s">
        <v>108</v>
      </c>
      <c r="H60" s="19"/>
    </row>
    <row r="61" spans="1:8" ht="35.1" customHeight="1">
      <c r="A61" s="7" t="s">
        <v>9</v>
      </c>
      <c r="C61" s="7" t="s">
        <v>9</v>
      </c>
      <c r="D61" s="7" t="s">
        <v>96</v>
      </c>
      <c r="F61" s="18" t="s">
        <v>109</v>
      </c>
      <c r="G61" s="8" t="s">
        <v>110</v>
      </c>
      <c r="H61" s="19"/>
    </row>
    <row r="62" spans="1:8" ht="62.1" customHeight="1">
      <c r="A62" s="7" t="s">
        <v>9</v>
      </c>
      <c r="C62" s="7" t="s">
        <v>9</v>
      </c>
      <c r="D62" s="7" t="s">
        <v>96</v>
      </c>
      <c r="F62" s="18" t="s">
        <v>111</v>
      </c>
      <c r="G62" s="8" t="s">
        <v>112</v>
      </c>
      <c r="H62" s="19"/>
    </row>
    <row r="63" spans="1:8" s="6" customFormat="1" ht="18.95">
      <c r="A63" s="4"/>
      <c r="B63" s="4"/>
      <c r="C63" s="5"/>
      <c r="D63" s="5"/>
      <c r="E63" s="5"/>
      <c r="F63" s="5"/>
      <c r="G63" s="4" t="s">
        <v>103</v>
      </c>
      <c r="H63" s="5"/>
    </row>
    <row r="64" spans="1:8" ht="32.1">
      <c r="A64" s="56" t="s">
        <v>9</v>
      </c>
      <c r="B64" s="56"/>
      <c r="C64" s="56" t="s">
        <v>9</v>
      </c>
      <c r="D64" s="56" t="s">
        <v>11</v>
      </c>
      <c r="E64" s="56"/>
      <c r="F64" s="56" t="s">
        <v>12</v>
      </c>
      <c r="G64" s="137" t="s">
        <v>104</v>
      </c>
      <c r="H64" s="56"/>
    </row>
    <row r="65" spans="1:8" s="10" customFormat="1" ht="45" customHeight="1">
      <c r="A65" s="10" t="s">
        <v>10</v>
      </c>
      <c r="C65" s="10" t="s">
        <v>9</v>
      </c>
      <c r="D65" s="10" t="s">
        <v>88</v>
      </c>
      <c r="F65" s="11" t="s">
        <v>105</v>
      </c>
      <c r="G65" s="12" t="s">
        <v>106</v>
      </c>
      <c r="H65" s="13">
        <f>(H66*H67)/(1-H68)</f>
        <v>0</v>
      </c>
    </row>
    <row r="66" spans="1:8" ht="35.1" customHeight="1">
      <c r="A66" s="7" t="s">
        <v>9</v>
      </c>
      <c r="C66" s="7" t="s">
        <v>9</v>
      </c>
      <c r="D66" s="7" t="s">
        <v>96</v>
      </c>
      <c r="F66" s="18" t="s">
        <v>107</v>
      </c>
      <c r="G66" s="8" t="s">
        <v>108</v>
      </c>
      <c r="H66" s="19"/>
    </row>
    <row r="67" spans="1:8" ht="35.1" customHeight="1">
      <c r="A67" s="7" t="s">
        <v>9</v>
      </c>
      <c r="C67" s="7" t="s">
        <v>9</v>
      </c>
      <c r="D67" s="7" t="s">
        <v>96</v>
      </c>
      <c r="F67" s="18" t="s">
        <v>109</v>
      </c>
      <c r="G67" s="8" t="s">
        <v>110</v>
      </c>
      <c r="H67" s="19"/>
    </row>
    <row r="68" spans="1:8" ht="62.1" customHeight="1">
      <c r="A68" s="7" t="s">
        <v>9</v>
      </c>
      <c r="C68" s="7" t="s">
        <v>9</v>
      </c>
      <c r="D68" s="7" t="s">
        <v>96</v>
      </c>
      <c r="F68" s="18" t="s">
        <v>111</v>
      </c>
      <c r="G68" s="8" t="s">
        <v>112</v>
      </c>
      <c r="H68" s="19"/>
    </row>
    <row r="69" spans="1:8" s="6" customFormat="1" ht="18.95">
      <c r="A69" s="4"/>
      <c r="B69" s="4"/>
      <c r="C69" s="5"/>
      <c r="D69" s="5"/>
      <c r="E69" s="5"/>
      <c r="F69" s="5"/>
      <c r="G69" s="4" t="s">
        <v>113</v>
      </c>
      <c r="H69" s="5"/>
    </row>
    <row r="70" spans="1:8" s="10" customFormat="1" ht="23.1" customHeight="1">
      <c r="A70" s="10" t="s">
        <v>10</v>
      </c>
      <c r="C70" s="10" t="s">
        <v>93</v>
      </c>
      <c r="D70" s="10" t="s">
        <v>88</v>
      </c>
      <c r="F70" s="11" t="s">
        <v>89</v>
      </c>
      <c r="G70" s="12" t="s">
        <v>90</v>
      </c>
      <c r="H70" s="13"/>
    </row>
    <row r="71" spans="1:8" s="10" customFormat="1" ht="23.1" customHeight="1">
      <c r="A71" s="10" t="s">
        <v>10</v>
      </c>
      <c r="C71" s="10" t="s">
        <v>93</v>
      </c>
      <c r="D71" s="10" t="s">
        <v>88</v>
      </c>
      <c r="F71" s="11" t="s">
        <v>94</v>
      </c>
      <c r="G71" s="12" t="s">
        <v>95</v>
      </c>
      <c r="H71" s="13">
        <f>SUM(H75,H80)</f>
        <v>0</v>
      </c>
    </row>
    <row r="72" spans="1:8" ht="23.1" customHeight="1">
      <c r="A72" s="7" t="s">
        <v>9</v>
      </c>
      <c r="C72" s="7" t="s">
        <v>93</v>
      </c>
      <c r="D72" s="7" t="s">
        <v>96</v>
      </c>
      <c r="F72" s="18" t="s">
        <v>97</v>
      </c>
      <c r="G72" s="8" t="s">
        <v>98</v>
      </c>
      <c r="H72" s="19"/>
    </row>
    <row r="73" spans="1:8" s="6" customFormat="1" ht="18.95">
      <c r="A73" s="4"/>
      <c r="B73" s="4"/>
      <c r="C73" s="5"/>
      <c r="D73" s="5"/>
      <c r="E73" s="5"/>
      <c r="F73" s="5"/>
      <c r="G73" s="4" t="s">
        <v>99</v>
      </c>
      <c r="H73" s="5"/>
    </row>
    <row r="74" spans="1:8">
      <c r="A74" s="56" t="s">
        <v>9</v>
      </c>
      <c r="B74" s="56"/>
      <c r="C74" s="56" t="s">
        <v>9</v>
      </c>
      <c r="D74" s="56" t="s">
        <v>11</v>
      </c>
      <c r="E74" s="56"/>
      <c r="F74" s="56" t="s">
        <v>12</v>
      </c>
      <c r="G74" s="56" t="s">
        <v>100</v>
      </c>
      <c r="H74" s="56"/>
    </row>
    <row r="75" spans="1:8" s="10" customFormat="1" ht="45" customHeight="1">
      <c r="A75" s="10" t="s">
        <v>10</v>
      </c>
      <c r="C75" s="10" t="s">
        <v>9</v>
      </c>
      <c r="D75" s="10" t="s">
        <v>88</v>
      </c>
      <c r="F75" s="11" t="s">
        <v>101</v>
      </c>
      <c r="G75" s="12" t="s">
        <v>102</v>
      </c>
      <c r="H75" s="13">
        <f>H76/(1-H77)</f>
        <v>0</v>
      </c>
    </row>
    <row r="76" spans="1:8" ht="35.1" customHeight="1">
      <c r="A76" s="7" t="s">
        <v>9</v>
      </c>
      <c r="C76" s="7" t="s">
        <v>9</v>
      </c>
      <c r="D76" s="7" t="s">
        <v>96</v>
      </c>
      <c r="F76" s="18" t="s">
        <v>114</v>
      </c>
      <c r="G76" s="8" t="s">
        <v>115</v>
      </c>
      <c r="H76" s="19"/>
    </row>
    <row r="77" spans="1:8" ht="62.1" customHeight="1">
      <c r="A77" s="7" t="s">
        <v>9</v>
      </c>
      <c r="C77" s="7" t="s">
        <v>9</v>
      </c>
      <c r="D77" s="7" t="s">
        <v>96</v>
      </c>
      <c r="F77" s="18" t="s">
        <v>111</v>
      </c>
      <c r="G77" s="8" t="s">
        <v>112</v>
      </c>
      <c r="H77" s="19"/>
    </row>
    <row r="78" spans="1:8" s="6" customFormat="1" ht="18.95">
      <c r="A78" s="4"/>
      <c r="B78" s="4"/>
      <c r="C78" s="5"/>
      <c r="D78" s="5"/>
      <c r="E78" s="5"/>
      <c r="F78" s="5"/>
      <c r="G78" s="4" t="s">
        <v>99</v>
      </c>
      <c r="H78" s="5"/>
    </row>
    <row r="79" spans="1:8">
      <c r="A79" s="56" t="s">
        <v>9</v>
      </c>
      <c r="B79" s="56"/>
      <c r="C79" s="56" t="s">
        <v>9</v>
      </c>
      <c r="D79" s="56" t="s">
        <v>11</v>
      </c>
      <c r="E79" s="56"/>
      <c r="F79" s="56" t="s">
        <v>12</v>
      </c>
      <c r="G79" s="56" t="s">
        <v>100</v>
      </c>
      <c r="H79" s="56"/>
    </row>
    <row r="80" spans="1:8" s="10" customFormat="1" ht="45" customHeight="1">
      <c r="A80" s="10" t="s">
        <v>10</v>
      </c>
      <c r="C80" s="10" t="s">
        <v>9</v>
      </c>
      <c r="D80" s="10" t="s">
        <v>88</v>
      </c>
      <c r="F80" s="11" t="s">
        <v>101</v>
      </c>
      <c r="G80" s="12" t="s">
        <v>102</v>
      </c>
      <c r="H80" s="13">
        <f>H81/(1-H82)</f>
        <v>0</v>
      </c>
    </row>
    <row r="81" spans="1:8" ht="35.1" customHeight="1">
      <c r="A81" s="7" t="s">
        <v>9</v>
      </c>
      <c r="C81" s="7" t="s">
        <v>9</v>
      </c>
      <c r="D81" s="7" t="s">
        <v>96</v>
      </c>
      <c r="F81" s="18" t="s">
        <v>114</v>
      </c>
      <c r="G81" s="8" t="s">
        <v>115</v>
      </c>
      <c r="H81" s="19"/>
    </row>
    <row r="82" spans="1:8" ht="62.1" customHeight="1">
      <c r="A82" s="7" t="s">
        <v>9</v>
      </c>
      <c r="C82" s="7" t="s">
        <v>9</v>
      </c>
      <c r="D82" s="7" t="s">
        <v>96</v>
      </c>
      <c r="F82" s="18" t="s">
        <v>111</v>
      </c>
      <c r="G82" s="8" t="s">
        <v>112</v>
      </c>
      <c r="H82" s="19"/>
    </row>
    <row r="83" spans="1:8" s="6" customFormat="1" ht="18.95">
      <c r="A83" s="4"/>
      <c r="B83" s="4"/>
      <c r="C83" s="5"/>
      <c r="D83" s="5"/>
      <c r="E83" s="5"/>
      <c r="F83" s="5"/>
      <c r="G83" s="4" t="s">
        <v>116</v>
      </c>
      <c r="H83" s="5"/>
    </row>
    <row r="84" spans="1:8" s="10" customFormat="1" ht="27.95" customHeight="1">
      <c r="A84" s="10" t="s">
        <v>10</v>
      </c>
      <c r="C84" s="10" t="s">
        <v>93</v>
      </c>
      <c r="D84" s="10" t="s">
        <v>88</v>
      </c>
      <c r="F84" s="11" t="s">
        <v>89</v>
      </c>
      <c r="G84" s="12" t="s">
        <v>90</v>
      </c>
      <c r="H84" s="13">
        <f>SUM(H87,H93)</f>
        <v>0</v>
      </c>
    </row>
    <row r="85" spans="1:8" s="6" customFormat="1" ht="18.95">
      <c r="A85" s="4"/>
      <c r="B85" s="4"/>
      <c r="C85" s="5"/>
      <c r="D85" s="5"/>
      <c r="E85" s="5"/>
      <c r="F85" s="5"/>
      <c r="G85" s="4" t="s">
        <v>117</v>
      </c>
      <c r="H85" s="5"/>
    </row>
    <row r="86" spans="1:8">
      <c r="A86" s="56" t="s">
        <v>9</v>
      </c>
      <c r="B86" s="56"/>
      <c r="C86" s="56" t="s">
        <v>9</v>
      </c>
      <c r="D86" s="56" t="s">
        <v>11</v>
      </c>
      <c r="E86" s="56"/>
      <c r="F86" s="56" t="s">
        <v>12</v>
      </c>
      <c r="G86" s="56" t="s">
        <v>118</v>
      </c>
      <c r="H86" s="56"/>
    </row>
    <row r="87" spans="1:8" s="10" customFormat="1" ht="32.1" customHeight="1">
      <c r="A87" s="10" t="s">
        <v>10</v>
      </c>
      <c r="C87" s="10" t="s">
        <v>9</v>
      </c>
      <c r="D87" s="10" t="s">
        <v>88</v>
      </c>
      <c r="F87" s="11" t="s">
        <v>119</v>
      </c>
      <c r="G87" s="12" t="s">
        <v>120</v>
      </c>
      <c r="H87" s="13">
        <f>H88*H89*H90</f>
        <v>0</v>
      </c>
    </row>
    <row r="88" spans="1:8" ht="32.1" customHeight="1">
      <c r="A88" s="7" t="s">
        <v>9</v>
      </c>
      <c r="C88" s="7" t="s">
        <v>9</v>
      </c>
      <c r="D88" s="7" t="s">
        <v>96</v>
      </c>
      <c r="F88" s="18" t="s">
        <v>121</v>
      </c>
      <c r="G88" s="8" t="s">
        <v>122</v>
      </c>
      <c r="H88" s="19"/>
    </row>
    <row r="89" spans="1:8" ht="18.95" customHeight="1">
      <c r="A89" s="7" t="s">
        <v>9</v>
      </c>
      <c r="C89" s="7" t="s">
        <v>9</v>
      </c>
      <c r="D89" s="7" t="s">
        <v>96</v>
      </c>
      <c r="F89" s="18" t="s">
        <v>123</v>
      </c>
      <c r="G89" s="8" t="s">
        <v>124</v>
      </c>
      <c r="H89" s="19"/>
    </row>
    <row r="90" spans="1:8" ht="20.100000000000001" customHeight="1">
      <c r="A90" s="7" t="s">
        <v>9</v>
      </c>
      <c r="C90" s="7" t="s">
        <v>9</v>
      </c>
      <c r="D90" s="7" t="s">
        <v>96</v>
      </c>
      <c r="F90" s="18" t="s">
        <v>125</v>
      </c>
      <c r="G90" s="8" t="s">
        <v>126</v>
      </c>
      <c r="H90" s="19"/>
    </row>
    <row r="91" spans="1:8" s="6" customFormat="1" ht="18.95">
      <c r="A91" s="4"/>
      <c r="B91" s="4"/>
      <c r="C91" s="5"/>
      <c r="D91" s="5"/>
      <c r="E91" s="5"/>
      <c r="F91" s="5"/>
      <c r="G91" s="4" t="s">
        <v>117</v>
      </c>
      <c r="H91" s="5"/>
    </row>
    <row r="92" spans="1:8">
      <c r="A92" s="56" t="s">
        <v>9</v>
      </c>
      <c r="B92" s="56"/>
      <c r="C92" s="56" t="s">
        <v>9</v>
      </c>
      <c r="D92" s="56" t="s">
        <v>11</v>
      </c>
      <c r="E92" s="56"/>
      <c r="F92" s="56" t="s">
        <v>12</v>
      </c>
      <c r="G92" s="56" t="s">
        <v>118</v>
      </c>
      <c r="H92" s="56"/>
    </row>
    <row r="93" spans="1:8" s="10" customFormat="1" ht="32.1" customHeight="1">
      <c r="A93" s="10" t="s">
        <v>10</v>
      </c>
      <c r="C93" s="10" t="s">
        <v>9</v>
      </c>
      <c r="D93" s="10" t="s">
        <v>88</v>
      </c>
      <c r="F93" s="11" t="s">
        <v>119</v>
      </c>
      <c r="G93" s="12" t="s">
        <v>120</v>
      </c>
      <c r="H93" s="13">
        <f>H94*H95*H96</f>
        <v>0</v>
      </c>
    </row>
    <row r="94" spans="1:8" ht="32.1" customHeight="1">
      <c r="A94" s="7" t="s">
        <v>9</v>
      </c>
      <c r="C94" s="7" t="s">
        <v>9</v>
      </c>
      <c r="D94" s="7" t="s">
        <v>96</v>
      </c>
      <c r="F94" s="18" t="s">
        <v>121</v>
      </c>
      <c r="G94" s="8" t="s">
        <v>122</v>
      </c>
      <c r="H94" s="19"/>
    </row>
    <row r="95" spans="1:8" ht="18.95" customHeight="1">
      <c r="A95" s="7" t="s">
        <v>9</v>
      </c>
      <c r="C95" s="7" t="s">
        <v>9</v>
      </c>
      <c r="D95" s="7" t="s">
        <v>96</v>
      </c>
      <c r="F95" s="18" t="s">
        <v>123</v>
      </c>
      <c r="G95" s="8" t="s">
        <v>124</v>
      </c>
      <c r="H95" s="19"/>
    </row>
    <row r="96" spans="1:8" ht="20.100000000000001" customHeight="1">
      <c r="A96" s="7" t="s">
        <v>9</v>
      </c>
      <c r="C96" s="7" t="s">
        <v>9</v>
      </c>
      <c r="D96" s="7" t="s">
        <v>96</v>
      </c>
      <c r="F96" s="18" t="s">
        <v>125</v>
      </c>
      <c r="G96" s="8" t="s">
        <v>126</v>
      </c>
      <c r="H96" s="19"/>
    </row>
    <row r="97" spans="1:8" s="6" customFormat="1" ht="18.95">
      <c r="A97" s="4"/>
      <c r="B97" s="4"/>
      <c r="C97" s="5"/>
      <c r="D97" s="5"/>
      <c r="E97" s="5"/>
      <c r="F97" s="5"/>
      <c r="G97" s="4" t="s">
        <v>127</v>
      </c>
      <c r="H97" s="5"/>
    </row>
    <row r="98" spans="1:8" s="10" customFormat="1" ht="53.1" customHeight="1">
      <c r="A98" s="10" t="s">
        <v>93</v>
      </c>
      <c r="C98" s="10" t="s">
        <v>10</v>
      </c>
      <c r="D98" s="10" t="s">
        <v>88</v>
      </c>
      <c r="E98" s="233"/>
      <c r="F98" s="11" t="s">
        <v>128</v>
      </c>
      <c r="G98" s="12" t="s">
        <v>129</v>
      </c>
      <c r="H98" s="13" t="s">
        <v>130</v>
      </c>
    </row>
    <row r="99" spans="1:8" s="6" customFormat="1" ht="18.95">
      <c r="A99" s="4"/>
      <c r="B99" s="4"/>
      <c r="C99" s="5"/>
      <c r="D99" s="5"/>
      <c r="E99" s="5"/>
      <c r="F99" s="5"/>
      <c r="G99" s="4" t="s">
        <v>131</v>
      </c>
      <c r="H99" s="5"/>
    </row>
    <row r="100" spans="1:8" s="10" customFormat="1" ht="36.950000000000003" customHeight="1">
      <c r="A100" s="10" t="s">
        <v>93</v>
      </c>
      <c r="C100" s="10" t="s">
        <v>9</v>
      </c>
      <c r="D100" s="10" t="s">
        <v>96</v>
      </c>
      <c r="F100" s="11" t="s">
        <v>128</v>
      </c>
      <c r="G100" s="12" t="s">
        <v>129</v>
      </c>
      <c r="H100" s="13" t="e">
        <f>'ACM0002 Geothermal &amp; Hydro'!G3+SUM(H102:H106)</f>
        <v>#DIV/0!</v>
      </c>
    </row>
    <row r="101" spans="1:8" s="58" customFormat="1" ht="15.95">
      <c r="A101" s="58" t="s">
        <v>9</v>
      </c>
      <c r="C101" s="58" t="s">
        <v>10</v>
      </c>
      <c r="D101" s="58" t="s">
        <v>80</v>
      </c>
      <c r="F101" s="58" t="s">
        <v>12</v>
      </c>
      <c r="G101" s="59" t="s">
        <v>132</v>
      </c>
      <c r="H101" s="138" t="s">
        <v>9</v>
      </c>
    </row>
    <row r="102" spans="1:8" s="10" customFormat="1" ht="48.95">
      <c r="A102" s="10" t="s">
        <v>93</v>
      </c>
      <c r="C102" s="10" t="s">
        <v>93</v>
      </c>
      <c r="D102" s="10" t="s">
        <v>88</v>
      </c>
      <c r="F102" s="11" t="s">
        <v>133</v>
      </c>
      <c r="G102" s="12" t="s">
        <v>134</v>
      </c>
      <c r="H102" s="17" t="e">
        <f>IF(AND(H101="Yes"),'Biomass Emissions Summary Tab '!B2)</f>
        <v>#DIV/0!</v>
      </c>
    </row>
    <row r="103" spans="1:8" s="10" customFormat="1" ht="17.100000000000001">
      <c r="A103" s="10" t="s">
        <v>93</v>
      </c>
      <c r="C103" s="10" t="s">
        <v>93</v>
      </c>
      <c r="D103" s="10" t="s">
        <v>88</v>
      </c>
      <c r="F103" s="11" t="s">
        <v>135</v>
      </c>
      <c r="G103" s="12" t="s">
        <v>136</v>
      </c>
      <c r="H103" s="17" t="str">
        <f>IF(AND(H101="Yes"),'Biomass Emissions Summary Tab '!B3)</f>
        <v>Parameter PEtr,m from Tool 12</v>
      </c>
    </row>
    <row r="104" spans="1:8" s="10" customFormat="1" ht="17.100000000000001">
      <c r="A104" s="10" t="s">
        <v>93</v>
      </c>
      <c r="C104" s="10" t="s">
        <v>93</v>
      </c>
      <c r="D104" s="10" t="s">
        <v>88</v>
      </c>
      <c r="F104" s="11" t="s">
        <v>137</v>
      </c>
      <c r="G104" s="12" t="s">
        <v>138</v>
      </c>
      <c r="H104" s="17" t="e">
        <f>IF(AND(H101="Yes"),'Biomass Emissions Summary Tab '!B5)</f>
        <v>#VALUE!</v>
      </c>
    </row>
    <row r="105" spans="1:8" s="10" customFormat="1" ht="33">
      <c r="A105" s="10" t="s">
        <v>93</v>
      </c>
      <c r="C105" s="10" t="s">
        <v>93</v>
      </c>
      <c r="D105" s="10" t="s">
        <v>88</v>
      </c>
      <c r="F105" s="11" t="s">
        <v>139</v>
      </c>
      <c r="G105" s="12" t="s">
        <v>140</v>
      </c>
      <c r="H105" s="17" t="str">
        <f>IF(AND(H101="Yes"),'Biomass Emissions Summary Tab '!B4)</f>
        <v>Parameter PEtr,m from Tool 12</v>
      </c>
    </row>
    <row r="106" spans="1:8" s="10" customFormat="1" ht="33">
      <c r="A106" s="10" t="s">
        <v>93</v>
      </c>
      <c r="C106" s="10" t="s">
        <v>93</v>
      </c>
      <c r="D106" s="10" t="s">
        <v>88</v>
      </c>
      <c r="F106" s="11" t="s">
        <v>141</v>
      </c>
      <c r="G106" s="12" t="s">
        <v>142</v>
      </c>
      <c r="H106" s="17" t="e">
        <f>IF(AND(H101="Yes"),'Biomass Emissions Summary Tab '!B6)</f>
        <v>#VALUE!</v>
      </c>
    </row>
    <row r="107" spans="1:8" s="6" customFormat="1" ht="18.95">
      <c r="A107" s="4"/>
      <c r="B107" s="4"/>
      <c r="C107" s="5"/>
      <c r="D107" s="5"/>
      <c r="E107" s="5"/>
      <c r="F107" s="5"/>
      <c r="G107" s="4" t="s">
        <v>143</v>
      </c>
      <c r="H107" s="5"/>
    </row>
    <row r="108" spans="1:8" s="10" customFormat="1" ht="36.950000000000003" customHeight="1">
      <c r="A108" s="10" t="s">
        <v>10</v>
      </c>
      <c r="C108" s="10" t="s">
        <v>9</v>
      </c>
      <c r="D108" s="10" t="s">
        <v>88</v>
      </c>
      <c r="F108" s="11" t="s">
        <v>128</v>
      </c>
      <c r="G108" s="12" t="s">
        <v>129</v>
      </c>
      <c r="H108" s="13">
        <f>'ACM0002 Geothermal &amp; Hydro'!G21 + SUM(H110:H114)</f>
        <v>500</v>
      </c>
    </row>
    <row r="109" spans="1:8" s="58" customFormat="1" ht="15.95">
      <c r="A109" s="58" t="s">
        <v>9</v>
      </c>
      <c r="C109" s="58" t="s">
        <v>10</v>
      </c>
      <c r="D109" s="58" t="s">
        <v>80</v>
      </c>
      <c r="F109" s="58" t="s">
        <v>12</v>
      </c>
      <c r="G109" s="59" t="s">
        <v>132</v>
      </c>
      <c r="H109" s="138" t="s">
        <v>10</v>
      </c>
    </row>
    <row r="110" spans="1:8" s="10" customFormat="1" ht="48.95">
      <c r="A110" s="10" t="s">
        <v>93</v>
      </c>
      <c r="C110" s="10" t="s">
        <v>93</v>
      </c>
      <c r="D110" s="10" t="s">
        <v>88</v>
      </c>
      <c r="F110" s="11" t="s">
        <v>133</v>
      </c>
      <c r="G110" s="12" t="s">
        <v>134</v>
      </c>
      <c r="H110" s="17" t="b">
        <f>IF(AND(H109="Yes"),'Biomass Emissions Summary Tab '!B2)</f>
        <v>0</v>
      </c>
    </row>
    <row r="111" spans="1:8" s="10" customFormat="1" ht="17.100000000000001">
      <c r="A111" s="10" t="s">
        <v>93</v>
      </c>
      <c r="C111" s="10" t="s">
        <v>93</v>
      </c>
      <c r="D111" s="10" t="s">
        <v>88</v>
      </c>
      <c r="F111" s="11" t="s">
        <v>135</v>
      </c>
      <c r="G111" s="12" t="s">
        <v>136</v>
      </c>
      <c r="H111" s="17" t="b">
        <f>IF(AND(H109="Yes"),'Biomass Emissions Summary Tab '!B3)</f>
        <v>0</v>
      </c>
    </row>
    <row r="112" spans="1:8" s="10" customFormat="1" ht="17.100000000000001">
      <c r="A112" s="10" t="s">
        <v>93</v>
      </c>
      <c r="C112" s="10" t="s">
        <v>93</v>
      </c>
      <c r="D112" s="10" t="s">
        <v>88</v>
      </c>
      <c r="F112" s="11" t="s">
        <v>137</v>
      </c>
      <c r="G112" s="12" t="s">
        <v>138</v>
      </c>
      <c r="H112" s="17" t="b">
        <f>IF(AND(H109="Yes"),'Biomass Emissions Summary Tab '!B5)</f>
        <v>0</v>
      </c>
    </row>
    <row r="113" spans="1:8" s="10" customFormat="1" ht="33">
      <c r="A113" s="10" t="s">
        <v>93</v>
      </c>
      <c r="C113" s="10" t="s">
        <v>93</v>
      </c>
      <c r="D113" s="10" t="s">
        <v>88</v>
      </c>
      <c r="F113" s="11" t="s">
        <v>139</v>
      </c>
      <c r="G113" s="12" t="s">
        <v>140</v>
      </c>
      <c r="H113" s="17" t="b">
        <f>IF(AND(H109="Yes"),'Biomass Emissions Summary Tab '!B4)</f>
        <v>0</v>
      </c>
    </row>
    <row r="114" spans="1:8" s="10" customFormat="1" ht="33">
      <c r="A114" s="10" t="s">
        <v>93</v>
      </c>
      <c r="C114" s="10" t="s">
        <v>93</v>
      </c>
      <c r="D114" s="10" t="s">
        <v>88</v>
      </c>
      <c r="F114" s="11" t="s">
        <v>141</v>
      </c>
      <c r="G114" s="12" t="s">
        <v>142</v>
      </c>
      <c r="H114" s="17" t="b">
        <f>IF(AND(H109="Yes"),'Biomass Emissions Summary Tab '!B6)</f>
        <v>0</v>
      </c>
    </row>
    <row r="115" spans="1:8" s="6" customFormat="1" ht="18.95">
      <c r="A115" s="4"/>
      <c r="B115" s="4"/>
      <c r="C115" s="5"/>
      <c r="D115" s="5"/>
      <c r="E115" s="5"/>
      <c r="F115" s="5"/>
      <c r="G115" s="4" t="s">
        <v>144</v>
      </c>
      <c r="H115" s="5"/>
    </row>
    <row r="116" spans="1:8" s="10" customFormat="1" ht="36.950000000000003" customHeight="1">
      <c r="A116" s="10" t="s">
        <v>10</v>
      </c>
      <c r="C116" s="10" t="s">
        <v>10</v>
      </c>
      <c r="D116" s="10" t="s">
        <v>88</v>
      </c>
      <c r="F116" s="11" t="s">
        <v>128</v>
      </c>
      <c r="G116" s="12" t="s">
        <v>129</v>
      </c>
      <c r="H116" s="13">
        <v>0</v>
      </c>
    </row>
    <row r="117" spans="1:8" s="6" customFormat="1" ht="18.95">
      <c r="A117" s="4"/>
      <c r="B117" s="4"/>
      <c r="C117" s="5"/>
      <c r="D117" s="5"/>
      <c r="E117" s="5"/>
      <c r="F117" s="5"/>
      <c r="G117" s="4" t="s">
        <v>145</v>
      </c>
      <c r="H117" s="5"/>
    </row>
    <row r="118" spans="1:8" s="10" customFormat="1" ht="51.95" customHeight="1">
      <c r="A118" s="10" t="s">
        <v>93</v>
      </c>
      <c r="C118" s="10" t="s">
        <v>10</v>
      </c>
      <c r="D118" s="10" t="s">
        <v>88</v>
      </c>
      <c r="F118" s="11" t="s">
        <v>146</v>
      </c>
      <c r="G118" s="12" t="s">
        <v>147</v>
      </c>
      <c r="H118" s="13" t="s">
        <v>148</v>
      </c>
    </row>
    <row r="119" spans="1:8" s="6" customFormat="1" ht="18.95">
      <c r="A119" s="4"/>
      <c r="B119" s="4"/>
      <c r="C119" s="5"/>
      <c r="D119" s="5"/>
      <c r="E119" s="5"/>
      <c r="F119" s="5"/>
      <c r="G119" s="4" t="s">
        <v>149</v>
      </c>
      <c r="H119" s="5"/>
    </row>
    <row r="120" spans="1:8" ht="17.100000000000001">
      <c r="A120" s="7" t="s">
        <v>93</v>
      </c>
      <c r="C120" s="7" t="s">
        <v>9</v>
      </c>
      <c r="D120" s="7" t="s">
        <v>96</v>
      </c>
      <c r="F120" s="18" t="s">
        <v>146</v>
      </c>
      <c r="G120" s="8" t="s">
        <v>147</v>
      </c>
      <c r="H120" s="9"/>
    </row>
    <row r="121" spans="1:8" s="6" customFormat="1" ht="18.95">
      <c r="A121" s="4"/>
      <c r="B121" s="4"/>
      <c r="C121" s="5"/>
      <c r="D121" s="5"/>
      <c r="E121" s="5"/>
      <c r="F121" s="5"/>
      <c r="G121" s="4" t="s">
        <v>150</v>
      </c>
      <c r="H121" s="5"/>
    </row>
    <row r="122" spans="1:8" s="10" customFormat="1" ht="17.100000000000001">
      <c r="A122" s="10" t="s">
        <v>10</v>
      </c>
      <c r="C122" s="10" t="s">
        <v>9</v>
      </c>
      <c r="D122" s="10" t="s">
        <v>88</v>
      </c>
      <c r="F122" s="11" t="s">
        <v>146</v>
      </c>
      <c r="G122" s="12" t="s">
        <v>147</v>
      </c>
      <c r="H122" s="17" t="e" cm="1">
        <f t="array" aca="1" ref="H122" ca="1">IF(AND(H101 _xludf.or H109="Yes"),'[1]Biomass Emissions Summary Tab '!B34)</f>
        <v>#NAME?</v>
      </c>
    </row>
    <row r="123" spans="1:8" s="6" customFormat="1" ht="18.95">
      <c r="A123" s="4"/>
      <c r="B123" s="4"/>
      <c r="C123" s="5"/>
      <c r="D123" s="5"/>
      <c r="E123" s="5"/>
      <c r="F123" s="5"/>
      <c r="G123" s="4" t="s">
        <v>151</v>
      </c>
      <c r="H123" s="5"/>
    </row>
    <row r="124" spans="1:8" s="10" customFormat="1" ht="17.100000000000001">
      <c r="A124" s="10" t="s">
        <v>10</v>
      </c>
      <c r="C124" s="10" t="s">
        <v>10</v>
      </c>
      <c r="D124" s="10" t="s">
        <v>88</v>
      </c>
      <c r="F124" s="11" t="s">
        <v>146</v>
      </c>
      <c r="G124" s="12" t="s">
        <v>147</v>
      </c>
      <c r="H124" s="17">
        <v>0</v>
      </c>
    </row>
    <row r="125" spans="1:8" s="6" customFormat="1" ht="18.95">
      <c r="A125" s="4"/>
      <c r="B125" s="4"/>
      <c r="C125" s="5"/>
      <c r="D125" s="5"/>
      <c r="E125" s="5"/>
      <c r="F125" s="5"/>
      <c r="G125" s="4" t="s">
        <v>152</v>
      </c>
      <c r="H125" s="5"/>
    </row>
    <row r="126" spans="1:8" s="10" customFormat="1" ht="17.100000000000001">
      <c r="A126" s="10" t="s">
        <v>10</v>
      </c>
      <c r="C126" s="10" t="s">
        <v>9</v>
      </c>
      <c r="D126" s="10" t="s">
        <v>88</v>
      </c>
      <c r="E126" s="233" t="s">
        <v>153</v>
      </c>
      <c r="F126" s="11" t="s">
        <v>154</v>
      </c>
      <c r="G126" s="12" t="s">
        <v>155</v>
      </c>
      <c r="H126" s="17" t="e">
        <f>H127-H128-H129</f>
        <v>#VALUE!</v>
      </c>
    </row>
    <row r="127" spans="1:8" s="10" customFormat="1" ht="17.100000000000001">
      <c r="A127" s="10" t="s">
        <v>10</v>
      </c>
      <c r="C127" s="10" t="s">
        <v>9</v>
      </c>
      <c r="D127" s="10" t="s">
        <v>88</v>
      </c>
      <c r="E127" s="233" t="s">
        <v>156</v>
      </c>
      <c r="F127" s="11" t="s">
        <v>157</v>
      </c>
      <c r="G127" s="12" t="s">
        <v>158</v>
      </c>
      <c r="H127" s="17" t="str">
        <f>H34</f>
        <v xml:space="preserve">If baseline emissions are based on electricity consumption of the households/user then use fiel H36 in "AMS-I.A." schema, if based on the annual electricity generation by the project activity then use field H70 in "AMS-I.A." schema, if based on a trend-adjusted projection of historical fuel consumption then use field H84 in "AMS-I.A." scheema </v>
      </c>
    </row>
    <row r="128" spans="1:8" s="10" customFormat="1" ht="17.100000000000001">
      <c r="A128" s="10" t="s">
        <v>10</v>
      </c>
      <c r="C128" s="10" t="s">
        <v>9</v>
      </c>
      <c r="D128" s="10" t="s">
        <v>88</v>
      </c>
      <c r="E128" s="233" t="s">
        <v>159</v>
      </c>
      <c r="F128" s="11" t="s">
        <v>160</v>
      </c>
      <c r="G128" s="12" t="s">
        <v>129</v>
      </c>
      <c r="H128" s="17" t="str">
        <f>H98</f>
        <v>If the project emissions are related to the operation of geothermal power plants (e.g. noncondensable gases, electricity/fossil fuel consumption) then use field H100 in "AMS-I.A." schema,  if project emissions are from water reservoirs of hydro power plants then use field H108 in "AMS-I.A." schema, if  project emissions are from other types of renewable energy projects then use field H116 in "AMS-I.A." schema</v>
      </c>
    </row>
    <row r="129" spans="1:8" s="10" customFormat="1" ht="17.100000000000001">
      <c r="A129" s="10" t="s">
        <v>10</v>
      </c>
      <c r="C129" s="10" t="s">
        <v>93</v>
      </c>
      <c r="D129" s="10" t="s">
        <v>88</v>
      </c>
      <c r="F129" s="10" t="s">
        <v>161</v>
      </c>
      <c r="G129" s="10" t="s">
        <v>162</v>
      </c>
      <c r="H129" s="17" t="str">
        <f>H118</f>
        <v xml:space="preserve">If leakage emissions are from energy generating equipment being  transferred from another activity then use field H120 in "AMS-I.A." schema, if leakage emissions are from project activities utilizing biomass and/or biomass residues then use field H122 of "AMS-I.A." schema, if leakage emissions do not need to be considered then use field H124 in "AMS-I.A." schema </v>
      </c>
    </row>
  </sheetData>
  <phoneticPr fontId="6" type="noConversion"/>
  <dataValidations count="4">
    <dataValidation type="list" showInputMessage="1" showErrorMessage="1" sqref="H30" xr:uid="{B00B0CD4-F902-044D-BDD9-9F937936801B}">
      <formula1>"Option 1, Option 2, Option 3"</formula1>
    </dataValidation>
    <dataValidation type="list" showInputMessage="1" showErrorMessage="1" sqref="H31" xr:uid="{55753D76-2CB9-054C-BA44-C1915B3D5EAE}">
      <formula1>"Geothermal, Hydro, Other Renewable Energy"</formula1>
    </dataValidation>
    <dataValidation type="list" showInputMessage="1" showErrorMessage="1" sqref="H32" xr:uid="{1E675F6F-3FB4-E24E-A2DC-C4B36CB8E3A3}">
      <formula1>"Transfer, Biomass, None"</formula1>
    </dataValidation>
    <dataValidation type="list" allowBlank="1" showInputMessage="1" showErrorMessage="1" sqref="H101 H109" xr:uid="{EBDAA78F-691C-3A4B-B61F-FAC9C10366E9}">
      <formula1>"Yes,No"</formula1>
    </dataValidation>
  </dataValidations>
  <hyperlinks>
    <hyperlink ref="H17" r:id="rId1" xr:uid="{2CA9557B-6C7F-3745-BA10-470B229F2F87}"/>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6DEC127E-F212-9246-A2D6-898E56861134}">
          <x14:formula1>
            <xm:f>'IWA Properties'!$A$2:$A$277</xm:f>
          </x14:formula1>
          <xm:sqref>E3:E28 E34 E98 E126:E128</xm:sqref>
        </x14:dataValidation>
        <x14:dataValidation type="list" allowBlank="1" showInputMessage="1" showErrorMessage="1" xr:uid="{DCAAD9B6-FE0B-8E4A-B454-702A3ED6FF0A}">
          <x14:formula1>
            <xm:f>'IWA Properties'!$B$2:$B$481</xm:f>
          </x14:formula1>
          <xm:sqref>H21</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8C558-AB90-0045-B750-7CD2668627E9}">
  <dimension ref="A1:B13"/>
  <sheetViews>
    <sheetView workbookViewId="0">
      <selection activeCell="K33" sqref="K33"/>
    </sheetView>
  </sheetViews>
  <sheetFormatPr defaultColWidth="8.875" defaultRowHeight="15"/>
  <cols>
    <col min="1" max="1" width="33" style="7" customWidth="1"/>
    <col min="2" max="2" width="31.5" style="7" customWidth="1"/>
    <col min="3" max="3" width="26.125" style="7" customWidth="1"/>
    <col min="4" max="16384" width="8.875" style="7"/>
  </cols>
  <sheetData>
    <row r="1" spans="1:2" s="136" customFormat="1">
      <c r="A1" s="244" t="s">
        <v>633</v>
      </c>
      <c r="B1" s="245"/>
    </row>
    <row r="2" spans="1:2">
      <c r="A2" s="7" t="s">
        <v>434</v>
      </c>
      <c r="B2" s="10" t="e">
        <f>'[4]Tool 16'!C71</f>
        <v>#DIV/0!</v>
      </c>
    </row>
    <row r="3" spans="1:2">
      <c r="A3" s="18" t="s">
        <v>510</v>
      </c>
      <c r="B3" s="11" t="str">
        <f>'[4]Tool 16'!C73</f>
        <v>Parameter PEtr,m from Tool 12</v>
      </c>
    </row>
    <row r="4" spans="1:2">
      <c r="A4" s="18" t="s">
        <v>514</v>
      </c>
      <c r="B4" s="11" t="str">
        <f>'[4]Tool 16'!C74</f>
        <v>Parameter PEtr,m from Tool 12</v>
      </c>
    </row>
    <row r="5" spans="1:2">
      <c r="A5" s="18" t="s">
        <v>557</v>
      </c>
      <c r="B5" s="11" t="e">
        <f>'[4]Tool 16'!C91</f>
        <v>#VALUE!</v>
      </c>
    </row>
    <row r="6" spans="1:2">
      <c r="A6" s="18" t="s">
        <v>585</v>
      </c>
      <c r="B6" s="11" t="e">
        <f>'[4]Tool 16'!C107</f>
        <v>#VALUE!</v>
      </c>
    </row>
    <row r="7" spans="1:2" s="136" customFormat="1">
      <c r="A7" s="136" t="s">
        <v>634</v>
      </c>
      <c r="B7" s="129" t="e">
        <f>SUM(B2:B6)</f>
        <v>#DIV/0!</v>
      </c>
    </row>
    <row r="8" spans="1:2">
      <c r="A8" s="244" t="s">
        <v>635</v>
      </c>
      <c r="B8" s="244"/>
    </row>
    <row r="9" spans="1:2">
      <c r="A9" s="18" t="s">
        <v>587</v>
      </c>
      <c r="B9" s="10">
        <f>'[4]Tool 16'!C111</f>
        <v>0</v>
      </c>
    </row>
    <row r="10" spans="1:2">
      <c r="A10" s="18" t="s">
        <v>592</v>
      </c>
      <c r="B10" s="10">
        <f>'[4]Tool 16'!C116</f>
        <v>0</v>
      </c>
    </row>
    <row r="11" spans="1:2">
      <c r="A11" s="18" t="s">
        <v>604</v>
      </c>
      <c r="B11" s="10" t="str">
        <f>'[4]Tool 16'!C119</f>
        <v>Parameter LEtr,m from Tool 12</v>
      </c>
    </row>
    <row r="12" spans="1:2">
      <c r="A12" s="18" t="s">
        <v>607</v>
      </c>
      <c r="B12" s="10" t="e">
        <f>'[4]Tool 16'!C136</f>
        <v>#VALUE!</v>
      </c>
    </row>
    <row r="13" spans="1:2" s="136" customFormat="1" ht="15" customHeight="1">
      <c r="A13" s="136" t="s">
        <v>634</v>
      </c>
      <c r="B13" s="129" t="e">
        <f>SUM(B9:B12)</f>
        <v>#VALUE!</v>
      </c>
    </row>
  </sheetData>
  <mergeCells count="2">
    <mergeCell ref="A1:B1"/>
    <mergeCell ref="A8:B8"/>
  </mergeCells>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D63884-6B53-FD46-B536-3FCA9A92C3F1}">
  <dimension ref="A1:K7"/>
  <sheetViews>
    <sheetView topLeftCell="I1" workbookViewId="0">
      <selection activeCell="AA34" sqref="AA34"/>
    </sheetView>
  </sheetViews>
  <sheetFormatPr defaultColWidth="8.875" defaultRowHeight="15"/>
  <cols>
    <col min="1" max="1" width="25.875" style="7" customWidth="1"/>
    <col min="2" max="2" width="20.625" style="7" customWidth="1"/>
    <col min="3" max="3" width="13.375" style="7" customWidth="1"/>
    <col min="4" max="4" width="43.5" style="7" customWidth="1"/>
    <col min="5" max="5" width="13.875" style="7" customWidth="1"/>
    <col min="6" max="6" width="41.625" style="7" customWidth="1"/>
    <col min="7" max="7" width="32.875" style="7" customWidth="1"/>
    <col min="8" max="8" width="8.875" style="7"/>
    <col min="9" max="9" width="34.875" style="7" customWidth="1"/>
    <col min="10" max="16384" width="8.875" style="7"/>
  </cols>
  <sheetData>
    <row r="1" spans="1:11" s="136" customFormat="1">
      <c r="A1" s="136" t="s">
        <v>636</v>
      </c>
      <c r="B1" s="136" t="s">
        <v>637</v>
      </c>
      <c r="C1" s="136" t="s">
        <v>638</v>
      </c>
      <c r="D1" s="136" t="s">
        <v>639</v>
      </c>
      <c r="E1" s="136" t="s">
        <v>640</v>
      </c>
      <c r="F1" s="136" t="s">
        <v>641</v>
      </c>
      <c r="G1" s="136" t="s">
        <v>642</v>
      </c>
      <c r="H1" s="136" t="s">
        <v>643</v>
      </c>
      <c r="I1" s="136" t="s">
        <v>644</v>
      </c>
      <c r="J1" s="136" t="s">
        <v>645</v>
      </c>
      <c r="K1" s="136" t="s">
        <v>646</v>
      </c>
    </row>
    <row r="2" spans="1:11">
      <c r="A2" s="7" t="s">
        <v>413</v>
      </c>
      <c r="B2" s="7" t="s">
        <v>415</v>
      </c>
      <c r="C2" s="7" t="s">
        <v>9</v>
      </c>
      <c r="D2" s="7" t="s">
        <v>647</v>
      </c>
      <c r="E2" s="7">
        <v>7</v>
      </c>
      <c r="F2" s="7" t="s">
        <v>648</v>
      </c>
      <c r="G2" s="7" t="s">
        <v>649</v>
      </c>
      <c r="H2" s="7" t="s">
        <v>650</v>
      </c>
      <c r="I2" s="7" t="s">
        <v>651</v>
      </c>
      <c r="J2" s="7" t="s">
        <v>652</v>
      </c>
      <c r="K2" s="7" t="s">
        <v>653</v>
      </c>
    </row>
    <row r="3" spans="1:11">
      <c r="A3" s="7" t="s">
        <v>654</v>
      </c>
      <c r="B3" s="7" t="s">
        <v>395</v>
      </c>
      <c r="C3" s="7" t="s">
        <v>10</v>
      </c>
      <c r="D3" s="7" t="s">
        <v>655</v>
      </c>
      <c r="E3" s="7">
        <v>10</v>
      </c>
      <c r="F3" s="7" t="s">
        <v>656</v>
      </c>
      <c r="G3" s="7" t="s">
        <v>657</v>
      </c>
      <c r="H3" s="7" t="s">
        <v>658</v>
      </c>
      <c r="I3" s="7" t="s">
        <v>659</v>
      </c>
      <c r="J3" s="7" t="s">
        <v>390</v>
      </c>
      <c r="K3" s="7" t="s">
        <v>660</v>
      </c>
    </row>
    <row r="4" spans="1:11">
      <c r="F4" s="7" t="s">
        <v>661</v>
      </c>
      <c r="G4" s="7" t="s">
        <v>662</v>
      </c>
      <c r="H4" s="7" t="s">
        <v>663</v>
      </c>
      <c r="I4" s="7" t="s">
        <v>417</v>
      </c>
      <c r="K4" s="7" t="s">
        <v>664</v>
      </c>
    </row>
    <row r="5" spans="1:11">
      <c r="F5" s="7" t="s">
        <v>665</v>
      </c>
      <c r="G5" s="7" t="s">
        <v>666</v>
      </c>
      <c r="H5" s="7" t="s">
        <v>667</v>
      </c>
      <c r="I5" s="7" t="s">
        <v>668</v>
      </c>
      <c r="K5" s="7" t="s">
        <v>431</v>
      </c>
    </row>
    <row r="6" spans="1:11">
      <c r="F6" s="7" t="s">
        <v>669</v>
      </c>
      <c r="G6" s="7" t="s">
        <v>670</v>
      </c>
    </row>
    <row r="7" spans="1:11">
      <c r="G7" s="7" t="s">
        <v>671</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5DBDB-36B4-0F49-8151-DD291E522EBD}">
  <dimension ref="A1"/>
  <sheetViews>
    <sheetView topLeftCell="A16" workbookViewId="0">
      <selection activeCell="U48" sqref="U48"/>
    </sheetView>
  </sheetViews>
  <sheetFormatPr defaultColWidth="8.875" defaultRowHeight="15"/>
  <cols>
    <col min="1" max="16384" width="8.875" style="7"/>
  </cols>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C752C-9A5D-3948-9E75-6057BAE868B2}">
  <dimension ref="A1:H39"/>
  <sheetViews>
    <sheetView zoomScale="80" zoomScaleNormal="80" workbookViewId="0">
      <selection activeCell="G3" sqref="G3"/>
    </sheetView>
  </sheetViews>
  <sheetFormatPr defaultColWidth="8.875" defaultRowHeight="15"/>
  <cols>
    <col min="1" max="1" width="12.5" style="7" bestFit="1" customWidth="1"/>
    <col min="2" max="2" width="12.625" style="7" customWidth="1"/>
    <col min="3" max="3" width="15" style="7" customWidth="1"/>
    <col min="4" max="4" width="17" style="7" bestFit="1" customWidth="1"/>
    <col min="5" max="5" width="13.5" style="7" bestFit="1" customWidth="1"/>
    <col min="6" max="6" width="59" style="7" customWidth="1"/>
    <col min="7" max="7" width="25.5" style="7" customWidth="1"/>
    <col min="8" max="8" width="97.375" style="7" customWidth="1"/>
    <col min="9" max="16384" width="8.875" style="7"/>
  </cols>
  <sheetData>
    <row r="1" spans="1:8" ht="39.75" customHeight="1">
      <c r="A1" s="95" t="s">
        <v>0</v>
      </c>
      <c r="B1" s="95" t="s">
        <v>163</v>
      </c>
      <c r="C1" s="96" t="s">
        <v>164</v>
      </c>
      <c r="D1" s="95" t="s">
        <v>3</v>
      </c>
      <c r="E1" s="95" t="s">
        <v>5</v>
      </c>
      <c r="F1" s="53" t="s">
        <v>6</v>
      </c>
      <c r="G1" s="53" t="s">
        <v>7</v>
      </c>
      <c r="H1" s="96" t="s">
        <v>165</v>
      </c>
    </row>
    <row r="2" spans="1:8" ht="30" customHeight="1">
      <c r="A2" s="235" t="s">
        <v>672</v>
      </c>
      <c r="B2" s="235"/>
      <c r="C2" s="235"/>
      <c r="D2" s="235"/>
      <c r="E2" s="235"/>
      <c r="F2" s="235"/>
      <c r="G2" s="235"/>
      <c r="H2" s="235"/>
    </row>
    <row r="3" spans="1:8" ht="32.1">
      <c r="A3" s="10" t="s">
        <v>10</v>
      </c>
      <c r="B3" s="10"/>
      <c r="C3" s="10" t="s">
        <v>10</v>
      </c>
      <c r="D3" s="10" t="s">
        <v>232</v>
      </c>
      <c r="E3" s="110" t="s">
        <v>673</v>
      </c>
      <c r="F3" s="141" t="s">
        <v>674</v>
      </c>
      <c r="G3" s="17">
        <f>SUM((G11*G12),(G29*G30))</f>
        <v>73.333333333333329</v>
      </c>
      <c r="H3" s="17" t="s">
        <v>675</v>
      </c>
    </row>
    <row r="4" spans="1:8" ht="46.5" customHeight="1">
      <c r="A4" s="235" t="s">
        <v>676</v>
      </c>
      <c r="B4" s="235"/>
      <c r="C4" s="235"/>
      <c r="D4" s="235"/>
      <c r="E4" s="235"/>
      <c r="F4" s="235"/>
      <c r="G4" s="235"/>
      <c r="H4" s="235"/>
    </row>
    <row r="5" spans="1:8" ht="33" customHeight="1">
      <c r="A5" s="7" t="s">
        <v>9</v>
      </c>
      <c r="C5" s="7" t="s">
        <v>9</v>
      </c>
      <c r="D5" s="7" t="s">
        <v>11</v>
      </c>
      <c r="E5" s="142" t="s">
        <v>677</v>
      </c>
      <c r="F5" s="143" t="s">
        <v>678</v>
      </c>
      <c r="G5" s="7" t="s">
        <v>679</v>
      </c>
    </row>
    <row r="6" spans="1:8" ht="15.95">
      <c r="A6" s="7" t="s">
        <v>9</v>
      </c>
      <c r="C6" s="7" t="s">
        <v>9</v>
      </c>
      <c r="D6" s="7" t="s">
        <v>11</v>
      </c>
      <c r="F6" s="143" t="s">
        <v>680</v>
      </c>
      <c r="G6" s="7" t="s">
        <v>681</v>
      </c>
    </row>
    <row r="7" spans="1:8" ht="48">
      <c r="A7" s="58" t="s">
        <v>9</v>
      </c>
      <c r="B7" s="58"/>
      <c r="C7" s="58" t="s">
        <v>9</v>
      </c>
      <c r="D7" s="58" t="s">
        <v>682</v>
      </c>
      <c r="E7" s="58"/>
      <c r="F7" s="144" t="s">
        <v>683</v>
      </c>
      <c r="G7" s="58" t="s">
        <v>684</v>
      </c>
      <c r="H7" s="145" t="s">
        <v>685</v>
      </c>
    </row>
    <row r="8" spans="1:8" ht="32.1">
      <c r="A8" s="58" t="s">
        <v>9</v>
      </c>
      <c r="B8" s="58"/>
      <c r="C8" s="58" t="s">
        <v>9</v>
      </c>
      <c r="D8" s="58" t="s">
        <v>682</v>
      </c>
      <c r="E8" s="58"/>
      <c r="F8" s="144" t="s">
        <v>686</v>
      </c>
      <c r="G8" s="58" t="s">
        <v>687</v>
      </c>
      <c r="H8" s="59" t="s">
        <v>688</v>
      </c>
    </row>
    <row r="9" spans="1:8" ht="21">
      <c r="A9" s="246" t="s">
        <v>689</v>
      </c>
      <c r="B9" s="246"/>
      <c r="C9" s="246"/>
      <c r="D9" s="246"/>
      <c r="E9" s="246"/>
      <c r="F9" s="246"/>
      <c r="G9" s="246"/>
      <c r="H9" s="246"/>
    </row>
    <row r="10" spans="1:8" ht="32.1">
      <c r="A10" s="10" t="s">
        <v>10</v>
      </c>
      <c r="B10" s="10"/>
      <c r="C10" s="10" t="s">
        <v>10</v>
      </c>
      <c r="D10" s="10" t="s">
        <v>232</v>
      </c>
      <c r="E10" s="110" t="s">
        <v>673</v>
      </c>
      <c r="F10" s="141" t="s">
        <v>690</v>
      </c>
      <c r="G10" s="17">
        <f>G11*G12</f>
        <v>36.666666666666664</v>
      </c>
      <c r="H10" s="17"/>
    </row>
    <row r="11" spans="1:8" ht="32.1">
      <c r="A11" s="7" t="s">
        <v>9</v>
      </c>
      <c r="C11" s="7" t="s">
        <v>9</v>
      </c>
      <c r="D11" s="7" t="s">
        <v>176</v>
      </c>
      <c r="E11" s="112" t="s">
        <v>691</v>
      </c>
      <c r="F11" s="143" t="s">
        <v>692</v>
      </c>
      <c r="G11" s="9">
        <v>20</v>
      </c>
      <c r="H11" s="9"/>
    </row>
    <row r="12" spans="1:8" ht="26.1">
      <c r="A12" s="10" t="s">
        <v>9</v>
      </c>
      <c r="B12" s="10"/>
      <c r="C12" s="10" t="s">
        <v>10</v>
      </c>
      <c r="D12" s="10" t="s">
        <v>232</v>
      </c>
      <c r="E12" s="146" t="s">
        <v>693</v>
      </c>
      <c r="F12" s="141" t="s">
        <v>694</v>
      </c>
      <c r="G12" s="17">
        <f>G14</f>
        <v>1.8333333333333333</v>
      </c>
      <c r="H12" s="147" t="s">
        <v>695</v>
      </c>
    </row>
    <row r="13" spans="1:8" ht="21">
      <c r="A13" s="246" t="s">
        <v>696</v>
      </c>
      <c r="B13" s="246"/>
      <c r="C13" s="246"/>
      <c r="D13" s="246"/>
      <c r="E13" s="246"/>
      <c r="F13" s="246"/>
      <c r="G13" s="246"/>
      <c r="H13" s="246"/>
    </row>
    <row r="14" spans="1:8" ht="26.1">
      <c r="A14" s="10" t="s">
        <v>10</v>
      </c>
      <c r="B14" s="10"/>
      <c r="C14" s="10" t="s">
        <v>10</v>
      </c>
      <c r="D14" s="10" t="s">
        <v>232</v>
      </c>
      <c r="E14" s="110" t="s">
        <v>693</v>
      </c>
      <c r="F14" s="141" t="s">
        <v>697</v>
      </c>
      <c r="G14" s="17">
        <f>G16*(44/12)</f>
        <v>1.8333333333333333</v>
      </c>
      <c r="H14" s="17" t="s">
        <v>698</v>
      </c>
    </row>
    <row r="15" spans="1:8" ht="26.1">
      <c r="A15" s="10" t="s">
        <v>10</v>
      </c>
      <c r="B15" s="10"/>
      <c r="C15" s="10" t="s">
        <v>10</v>
      </c>
      <c r="D15" s="10" t="s">
        <v>232</v>
      </c>
      <c r="E15" s="110" t="s">
        <v>693</v>
      </c>
      <c r="F15" s="141" t="s">
        <v>699</v>
      </c>
      <c r="G15" s="17">
        <f>G16*G17*(44/12)</f>
        <v>3.6666666666666665</v>
      </c>
      <c r="H15" s="17" t="s">
        <v>700</v>
      </c>
    </row>
    <row r="16" spans="1:8" ht="32.1">
      <c r="A16" s="7" t="s">
        <v>9</v>
      </c>
      <c r="C16" s="7" t="s">
        <v>9</v>
      </c>
      <c r="D16" s="7" t="s">
        <v>176</v>
      </c>
      <c r="E16" s="112" t="s">
        <v>701</v>
      </c>
      <c r="F16" s="143" t="s">
        <v>702</v>
      </c>
      <c r="G16" s="9">
        <v>0.5</v>
      </c>
      <c r="H16" s="9"/>
    </row>
    <row r="17" spans="1:8" ht="32.1">
      <c r="A17" s="7" t="s">
        <v>9</v>
      </c>
      <c r="C17" s="7" t="s">
        <v>9</v>
      </c>
      <c r="D17" s="7" t="s">
        <v>176</v>
      </c>
      <c r="E17" s="112" t="s">
        <v>703</v>
      </c>
      <c r="F17" s="143" t="s">
        <v>704</v>
      </c>
      <c r="G17" s="9">
        <v>2</v>
      </c>
      <c r="H17" s="9"/>
    </row>
    <row r="18" spans="1:8" ht="21">
      <c r="A18" s="246" t="s">
        <v>705</v>
      </c>
      <c r="B18" s="246"/>
      <c r="C18" s="246"/>
      <c r="D18" s="246"/>
      <c r="E18" s="246"/>
      <c r="F18" s="246"/>
      <c r="G18" s="246"/>
      <c r="H18" s="246"/>
    </row>
    <row r="19" spans="1:8" ht="26.1">
      <c r="A19" s="10" t="s">
        <v>10</v>
      </c>
      <c r="B19" s="10"/>
      <c r="C19" s="10" t="s">
        <v>10</v>
      </c>
      <c r="D19" s="10" t="s">
        <v>232</v>
      </c>
      <c r="E19" s="110" t="s">
        <v>693</v>
      </c>
      <c r="F19" s="147" t="s">
        <v>694</v>
      </c>
      <c r="G19" s="17">
        <f>G20*G21</f>
        <v>11.15</v>
      </c>
      <c r="H19" s="17"/>
    </row>
    <row r="20" spans="1:8" ht="32.1">
      <c r="A20" s="7" t="s">
        <v>9</v>
      </c>
      <c r="C20" s="7" t="s">
        <v>9</v>
      </c>
      <c r="D20" s="7" t="s">
        <v>176</v>
      </c>
      <c r="E20" s="112" t="s">
        <v>706</v>
      </c>
      <c r="F20" s="8" t="s">
        <v>707</v>
      </c>
      <c r="G20" s="9">
        <v>0.5</v>
      </c>
      <c r="H20" s="9"/>
    </row>
    <row r="21" spans="1:8" ht="26.1">
      <c r="A21" s="7" t="s">
        <v>9</v>
      </c>
      <c r="C21" s="7" t="s">
        <v>9</v>
      </c>
      <c r="D21" s="7" t="s">
        <v>176</v>
      </c>
      <c r="E21" s="112" t="s">
        <v>708</v>
      </c>
      <c r="F21" s="8" t="s">
        <v>709</v>
      </c>
      <c r="G21" s="9">
        <v>22.3</v>
      </c>
      <c r="H21" s="9"/>
    </row>
    <row r="22" spans="1:8" ht="46.5" customHeight="1">
      <c r="A22" s="235" t="s">
        <v>710</v>
      </c>
      <c r="B22" s="235"/>
      <c r="C22" s="235"/>
      <c r="D22" s="235"/>
      <c r="E22" s="235"/>
      <c r="F22" s="235"/>
      <c r="G22" s="235"/>
      <c r="H22" s="235"/>
    </row>
    <row r="23" spans="1:8" ht="33" customHeight="1">
      <c r="A23" s="7" t="s">
        <v>9</v>
      </c>
      <c r="C23" s="7" t="s">
        <v>9</v>
      </c>
      <c r="D23" s="7" t="s">
        <v>11</v>
      </c>
      <c r="E23" s="112" t="s">
        <v>677</v>
      </c>
      <c r="F23" s="143" t="s">
        <v>678</v>
      </c>
      <c r="G23" s="7" t="s">
        <v>679</v>
      </c>
    </row>
    <row r="24" spans="1:8" ht="15.95">
      <c r="A24" s="7" t="s">
        <v>9</v>
      </c>
      <c r="C24" s="7" t="s">
        <v>9</v>
      </c>
      <c r="D24" s="7" t="s">
        <v>11</v>
      </c>
      <c r="E24" s="148"/>
      <c r="F24" s="143" t="s">
        <v>680</v>
      </c>
      <c r="G24" s="7" t="s">
        <v>681</v>
      </c>
    </row>
    <row r="25" spans="1:8" ht="48">
      <c r="A25" s="58" t="s">
        <v>9</v>
      </c>
      <c r="B25" s="58"/>
      <c r="C25" s="58" t="s">
        <v>9</v>
      </c>
      <c r="D25" s="58" t="s">
        <v>217</v>
      </c>
      <c r="E25" s="149"/>
      <c r="F25" s="144" t="s">
        <v>683</v>
      </c>
      <c r="G25" s="58" t="s">
        <v>711</v>
      </c>
      <c r="H25" s="145" t="s">
        <v>685</v>
      </c>
    </row>
    <row r="26" spans="1:8" ht="32.1">
      <c r="A26" s="58" t="s">
        <v>9</v>
      </c>
      <c r="B26" s="58"/>
      <c r="C26" s="58" t="s">
        <v>9</v>
      </c>
      <c r="D26" s="58" t="s">
        <v>217</v>
      </c>
      <c r="E26" s="149"/>
      <c r="F26" s="144" t="s">
        <v>686</v>
      </c>
      <c r="G26" s="58" t="s">
        <v>712</v>
      </c>
      <c r="H26" s="59" t="s">
        <v>688</v>
      </c>
    </row>
    <row r="27" spans="1:8" ht="21">
      <c r="A27" s="246" t="s">
        <v>689</v>
      </c>
      <c r="B27" s="246"/>
      <c r="C27" s="246"/>
      <c r="D27" s="246"/>
      <c r="E27" s="246"/>
      <c r="F27" s="246"/>
      <c r="G27" s="246"/>
      <c r="H27" s="246"/>
    </row>
    <row r="28" spans="1:8" ht="32.1">
      <c r="A28" s="10" t="s">
        <v>10</v>
      </c>
      <c r="B28" s="10"/>
      <c r="C28" s="10" t="s">
        <v>10</v>
      </c>
      <c r="D28" s="10" t="s">
        <v>232</v>
      </c>
      <c r="E28" s="110" t="s">
        <v>673</v>
      </c>
      <c r="F28" s="141" t="s">
        <v>690</v>
      </c>
      <c r="G28" s="17">
        <f>G29*G30</f>
        <v>36.666666666666664</v>
      </c>
      <c r="H28" s="17"/>
    </row>
    <row r="29" spans="1:8" ht="32.1">
      <c r="A29" s="7" t="s">
        <v>9</v>
      </c>
      <c r="C29" s="7" t="s">
        <v>9</v>
      </c>
      <c r="D29" s="7" t="s">
        <v>176</v>
      </c>
      <c r="E29" s="112" t="s">
        <v>691</v>
      </c>
      <c r="F29" s="143" t="s">
        <v>692</v>
      </c>
      <c r="G29" s="9">
        <v>10</v>
      </c>
      <c r="H29" s="9"/>
    </row>
    <row r="30" spans="1:8" ht="26.1">
      <c r="A30" s="10" t="s">
        <v>9</v>
      </c>
      <c r="B30" s="10"/>
      <c r="C30" s="10" t="s">
        <v>9</v>
      </c>
      <c r="D30" s="10" t="s">
        <v>232</v>
      </c>
      <c r="E30" s="146" t="s">
        <v>693</v>
      </c>
      <c r="F30" s="141" t="s">
        <v>694</v>
      </c>
      <c r="G30" s="17">
        <f>G33</f>
        <v>3.6666666666666665</v>
      </c>
      <c r="H30" s="147" t="s">
        <v>713</v>
      </c>
    </row>
    <row r="31" spans="1:8" ht="21">
      <c r="A31" s="246" t="s">
        <v>696</v>
      </c>
      <c r="B31" s="246"/>
      <c r="C31" s="246"/>
      <c r="D31" s="246"/>
      <c r="E31" s="246"/>
      <c r="F31" s="246"/>
      <c r="G31" s="246"/>
      <c r="H31" s="246"/>
    </row>
    <row r="32" spans="1:8" ht="26.1">
      <c r="A32" s="10" t="s">
        <v>10</v>
      </c>
      <c r="B32" s="10"/>
      <c r="C32" s="10" t="s">
        <v>10</v>
      </c>
      <c r="D32" s="10" t="s">
        <v>232</v>
      </c>
      <c r="E32" s="110" t="s">
        <v>693</v>
      </c>
      <c r="F32" s="141" t="s">
        <v>697</v>
      </c>
      <c r="G32" s="17">
        <f>G34*(44/12)</f>
        <v>1.8333333333333333</v>
      </c>
      <c r="H32" s="17" t="s">
        <v>698</v>
      </c>
    </row>
    <row r="33" spans="1:8" ht="26.1">
      <c r="A33" s="10" t="s">
        <v>10</v>
      </c>
      <c r="B33" s="10"/>
      <c r="C33" s="10" t="s">
        <v>10</v>
      </c>
      <c r="D33" s="10" t="s">
        <v>232</v>
      </c>
      <c r="E33" s="110" t="s">
        <v>693</v>
      </c>
      <c r="F33" s="141" t="s">
        <v>699</v>
      </c>
      <c r="G33" s="17">
        <f>G34*G35*(44/12)</f>
        <v>3.6666666666666665</v>
      </c>
      <c r="H33" s="17" t="s">
        <v>700</v>
      </c>
    </row>
    <row r="34" spans="1:8" ht="32.1">
      <c r="A34" s="7" t="s">
        <v>9</v>
      </c>
      <c r="C34" s="7" t="s">
        <v>9</v>
      </c>
      <c r="D34" s="7" t="s">
        <v>176</v>
      </c>
      <c r="E34" s="112" t="s">
        <v>701</v>
      </c>
      <c r="F34" s="143" t="s">
        <v>702</v>
      </c>
      <c r="G34" s="9">
        <v>0.5</v>
      </c>
      <c r="H34" s="9"/>
    </row>
    <row r="35" spans="1:8" ht="32.1">
      <c r="A35" s="7" t="s">
        <v>9</v>
      </c>
      <c r="C35" s="7" t="s">
        <v>9</v>
      </c>
      <c r="D35" s="7" t="s">
        <v>176</v>
      </c>
      <c r="E35" s="112" t="s">
        <v>703</v>
      </c>
      <c r="F35" s="143" t="s">
        <v>704</v>
      </c>
      <c r="G35" s="9">
        <v>2</v>
      </c>
      <c r="H35" s="9"/>
    </row>
    <row r="36" spans="1:8" ht="21">
      <c r="A36" s="246" t="s">
        <v>705</v>
      </c>
      <c r="B36" s="246"/>
      <c r="C36" s="246"/>
      <c r="D36" s="246"/>
      <c r="E36" s="246"/>
      <c r="F36" s="246"/>
      <c r="G36" s="246"/>
      <c r="H36" s="246"/>
    </row>
    <row r="37" spans="1:8" ht="26.1">
      <c r="A37" s="10" t="s">
        <v>10</v>
      </c>
      <c r="B37" s="10"/>
      <c r="C37" s="10" t="s">
        <v>10</v>
      </c>
      <c r="D37" s="10" t="s">
        <v>232</v>
      </c>
      <c r="E37" s="110" t="s">
        <v>693</v>
      </c>
      <c r="F37" s="141" t="s">
        <v>694</v>
      </c>
      <c r="G37" s="17">
        <f>G38*G39</f>
        <v>11.15</v>
      </c>
      <c r="H37" s="17"/>
    </row>
    <row r="38" spans="1:8" ht="32.1">
      <c r="A38" s="7" t="s">
        <v>9</v>
      </c>
      <c r="C38" s="7" t="s">
        <v>9</v>
      </c>
      <c r="D38" s="7" t="s">
        <v>176</v>
      </c>
      <c r="E38" s="112" t="s">
        <v>706</v>
      </c>
      <c r="F38" s="143" t="s">
        <v>707</v>
      </c>
      <c r="G38" s="9">
        <v>0.5</v>
      </c>
      <c r="H38" s="9"/>
    </row>
    <row r="39" spans="1:8" ht="26.1">
      <c r="A39" s="7" t="s">
        <v>9</v>
      </c>
      <c r="C39" s="7" t="s">
        <v>9</v>
      </c>
      <c r="D39" s="7" t="s">
        <v>176</v>
      </c>
      <c r="E39" s="112" t="s">
        <v>708</v>
      </c>
      <c r="F39" s="143" t="s">
        <v>709</v>
      </c>
      <c r="G39" s="9">
        <v>22.3</v>
      </c>
      <c r="H39" s="9"/>
    </row>
  </sheetData>
  <mergeCells count="9">
    <mergeCell ref="A27:H27"/>
    <mergeCell ref="A31:H31"/>
    <mergeCell ref="A36:H36"/>
    <mergeCell ref="A2:H2"/>
    <mergeCell ref="A4:H4"/>
    <mergeCell ref="A9:H9"/>
    <mergeCell ref="A13:H13"/>
    <mergeCell ref="A18:H18"/>
    <mergeCell ref="A22:H22"/>
  </mergeCells>
  <dataValidations count="2">
    <dataValidation type="list" allowBlank="1" showInputMessage="1" showErrorMessage="1" sqref="G7 G25" xr:uid="{E45BBB7C-2097-974C-B169-CCA708852AAB}">
      <formula1>"Option A,Option B"</formula1>
    </dataValidation>
    <dataValidation type="list" allowBlank="1" showInputMessage="1" showErrorMessage="1" sqref="G8 G26" xr:uid="{E8F87FE6-D686-234C-90D5-F72C92537B1B}">
      <formula1>"Mass,Volume"</formula1>
    </dataValidation>
  </dataValidations>
  <pageMargins left="0.7" right="0.7" top="0.75" bottom="0.75" header="0.3" footer="0.3"/>
  <pageSetup scale="34" orientation="portrait"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6702D-F68B-CA4D-AFEF-7F3320CE913A}">
  <dimension ref="A1:I87"/>
  <sheetViews>
    <sheetView workbookViewId="0">
      <pane xSplit="2" ySplit="23" topLeftCell="C24" activePane="bottomRight" state="frozen"/>
      <selection pane="bottomRight" activeCell="B33" sqref="B33"/>
      <selection pane="bottomLeft" activeCell="A19" sqref="A19"/>
      <selection pane="topRight" activeCell="B1" sqref="B1"/>
    </sheetView>
  </sheetViews>
  <sheetFormatPr defaultColWidth="8.875" defaultRowHeight="15"/>
  <cols>
    <col min="1" max="1" width="20.125" style="7" customWidth="1"/>
    <col min="2" max="2" width="122.5" style="7" customWidth="1"/>
    <col min="3" max="3" width="20.625" style="7" customWidth="1"/>
    <col min="4" max="4" width="8.875" style="7"/>
    <col min="5" max="5" width="12.875" style="7" customWidth="1"/>
    <col min="6" max="6" width="12.625" style="7" customWidth="1"/>
    <col min="7" max="7" width="16.125" style="7" customWidth="1"/>
    <col min="8" max="8" width="19" style="7" customWidth="1"/>
    <col min="9" max="16384" width="8.875" style="7"/>
  </cols>
  <sheetData>
    <row r="1" spans="1:8">
      <c r="A1" s="7" t="s">
        <v>5</v>
      </c>
      <c r="B1" s="7" t="s">
        <v>6</v>
      </c>
      <c r="C1" s="7" t="s">
        <v>7</v>
      </c>
      <c r="D1" s="7" t="s">
        <v>387</v>
      </c>
      <c r="E1" s="7" t="s">
        <v>3</v>
      </c>
      <c r="F1" s="7" t="s">
        <v>165</v>
      </c>
      <c r="G1" s="7" t="s">
        <v>164</v>
      </c>
      <c r="H1" s="7" t="s">
        <v>163</v>
      </c>
    </row>
    <row r="2" spans="1:8" s="150" customFormat="1">
      <c r="B2" s="150" t="s">
        <v>388</v>
      </c>
    </row>
    <row r="3" spans="1:8">
      <c r="B3" s="7" t="s">
        <v>714</v>
      </c>
      <c r="C3" s="7" t="s">
        <v>715</v>
      </c>
      <c r="D3" s="7" t="s">
        <v>9</v>
      </c>
      <c r="E3" s="7" t="s">
        <v>285</v>
      </c>
      <c r="G3" s="7" t="s">
        <v>10</v>
      </c>
    </row>
    <row r="4" spans="1:8">
      <c r="B4" s="7" t="s">
        <v>716</v>
      </c>
      <c r="C4" s="7" t="s">
        <v>717</v>
      </c>
      <c r="D4" s="7" t="s">
        <v>9</v>
      </c>
      <c r="E4" s="7" t="s">
        <v>285</v>
      </c>
      <c r="F4" s="7" t="s">
        <v>718</v>
      </c>
      <c r="G4" s="7" t="s">
        <v>10</v>
      </c>
    </row>
    <row r="5" spans="1:8" ht="15.95">
      <c r="B5" s="8" t="s">
        <v>719</v>
      </c>
      <c r="C5" s="7" t="s">
        <v>10</v>
      </c>
      <c r="D5" s="7" t="s">
        <v>9</v>
      </c>
      <c r="E5" s="7" t="s">
        <v>285</v>
      </c>
      <c r="G5" s="7" t="s">
        <v>10</v>
      </c>
    </row>
    <row r="6" spans="1:8" ht="15.95">
      <c r="B6" s="8" t="s">
        <v>720</v>
      </c>
      <c r="C6" s="7" t="s">
        <v>10</v>
      </c>
      <c r="D6" s="7" t="s">
        <v>9</v>
      </c>
      <c r="E6" s="7" t="s">
        <v>285</v>
      </c>
      <c r="G6" s="7" t="s">
        <v>10</v>
      </c>
    </row>
    <row r="7" spans="1:8" ht="15.95">
      <c r="B7" s="8" t="s">
        <v>721</v>
      </c>
      <c r="C7" s="7" t="s">
        <v>9</v>
      </c>
      <c r="D7" s="7" t="s">
        <v>9</v>
      </c>
      <c r="E7" s="7" t="s">
        <v>285</v>
      </c>
      <c r="G7" s="7" t="s">
        <v>10</v>
      </c>
    </row>
    <row r="8" spans="1:8">
      <c r="B8" s="7" t="s">
        <v>722</v>
      </c>
      <c r="C8" s="7" t="s">
        <v>723</v>
      </c>
      <c r="D8" s="7" t="s">
        <v>9</v>
      </c>
      <c r="E8" s="7" t="s">
        <v>285</v>
      </c>
      <c r="G8" s="7" t="s">
        <v>10</v>
      </c>
    </row>
    <row r="9" spans="1:8">
      <c r="B9" s="7" t="s">
        <v>724</v>
      </c>
      <c r="C9" s="7" t="s">
        <v>725</v>
      </c>
      <c r="D9" s="7" t="s">
        <v>9</v>
      </c>
      <c r="E9" s="7" t="s">
        <v>285</v>
      </c>
      <c r="G9" s="7" t="s">
        <v>10</v>
      </c>
    </row>
    <row r="10" spans="1:8">
      <c r="B10" s="7" t="s">
        <v>726</v>
      </c>
      <c r="C10" s="7" t="s">
        <v>670</v>
      </c>
      <c r="D10" s="7" t="s">
        <v>9</v>
      </c>
      <c r="E10" s="7" t="s">
        <v>285</v>
      </c>
      <c r="G10" s="7" t="s">
        <v>10</v>
      </c>
    </row>
    <row r="11" spans="1:8" ht="32.1">
      <c r="B11" s="19" t="s">
        <v>727</v>
      </c>
      <c r="C11" s="7" t="s">
        <v>728</v>
      </c>
      <c r="D11" s="7" t="str">
        <f>IF(C8="Option 2 (Estimated)","Yes","NA")</f>
        <v>NA</v>
      </c>
      <c r="E11" s="7" t="s">
        <v>285</v>
      </c>
      <c r="G11" s="7" t="s">
        <v>10</v>
      </c>
    </row>
    <row r="12" spans="1:8" ht="15.95">
      <c r="B12" s="19" t="s">
        <v>729</v>
      </c>
      <c r="C12" s="7" t="s">
        <v>10</v>
      </c>
      <c r="D12" s="7" t="str">
        <f>IF(C8="Option 2 (Estimated)","Yes","NA")</f>
        <v>NA</v>
      </c>
      <c r="E12" s="7" t="s">
        <v>285</v>
      </c>
      <c r="G12" s="7" t="s">
        <v>10</v>
      </c>
    </row>
    <row r="13" spans="1:8" ht="15.95">
      <c r="B13" s="19" t="s">
        <v>730</v>
      </c>
      <c r="C13" s="7" t="s">
        <v>9</v>
      </c>
      <c r="D13" s="7" t="str">
        <f>IF(C8="Option 2 (Estimated)","Yes","NA")</f>
        <v>NA</v>
      </c>
      <c r="E13" s="7" t="s">
        <v>285</v>
      </c>
      <c r="G13" s="7" t="s">
        <v>10</v>
      </c>
    </row>
    <row r="14" spans="1:8" ht="15.95">
      <c r="B14" s="19" t="s">
        <v>731</v>
      </c>
      <c r="C14" s="7" t="s">
        <v>732</v>
      </c>
      <c r="D14" s="7" t="str">
        <f>IF(C8="Option 2 (Estimated)","Yes","NA")</f>
        <v>NA</v>
      </c>
      <c r="E14" s="7" t="s">
        <v>285</v>
      </c>
      <c r="G14" s="7" t="s">
        <v>10</v>
      </c>
    </row>
    <row r="15" spans="1:8" ht="15.95">
      <c r="B15" s="19" t="s">
        <v>733</v>
      </c>
      <c r="C15" s="7" t="s">
        <v>9</v>
      </c>
      <c r="D15" s="7" t="str">
        <f>IF(C8="Option 2 (Estimated)","Yes","NA")</f>
        <v>NA</v>
      </c>
      <c r="E15" s="7" t="s">
        <v>285</v>
      </c>
      <c r="G15" s="7" t="s">
        <v>10</v>
      </c>
    </row>
    <row r="16" spans="1:8" ht="15.95">
      <c r="B16" s="19" t="s">
        <v>734</v>
      </c>
      <c r="C16" s="7" t="s">
        <v>10</v>
      </c>
      <c r="D16" s="7" t="str">
        <f>IF(C8="Option 2 (Estimated)","Yes","NA")</f>
        <v>NA</v>
      </c>
      <c r="E16" s="7" t="s">
        <v>285</v>
      </c>
      <c r="G16" s="7" t="s">
        <v>10</v>
      </c>
    </row>
    <row r="17" spans="2:7" ht="15.95">
      <c r="B17" s="19" t="s">
        <v>735</v>
      </c>
      <c r="C17" s="7" t="s">
        <v>736</v>
      </c>
      <c r="D17" s="7" t="str">
        <f>IF(AND(C4="Application B",C6="Yes"),"Yes","No")</f>
        <v>No</v>
      </c>
      <c r="E17" s="7" t="s">
        <v>285</v>
      </c>
      <c r="G17" s="7" t="s">
        <v>10</v>
      </c>
    </row>
    <row r="18" spans="2:7" ht="15.95">
      <c r="B18" s="19" t="s">
        <v>737</v>
      </c>
      <c r="C18" s="7" t="s">
        <v>10</v>
      </c>
      <c r="D18" s="7" t="str">
        <f>IF(C4="Application B","Yes","NA")</f>
        <v>Yes</v>
      </c>
      <c r="E18" s="7" t="s">
        <v>285</v>
      </c>
      <c r="G18" s="7" t="s">
        <v>10</v>
      </c>
    </row>
    <row r="19" spans="2:7" ht="15.95">
      <c r="B19" s="19" t="s">
        <v>738</v>
      </c>
      <c r="C19" s="7" t="s">
        <v>739</v>
      </c>
      <c r="D19" s="7" t="str">
        <f>IF(AND(C4="Application B",C18="Yes"),"NA","Yes")</f>
        <v>Yes</v>
      </c>
      <c r="E19" s="7" t="s">
        <v>285</v>
      </c>
      <c r="G19" s="7" t="s">
        <v>10</v>
      </c>
    </row>
    <row r="20" spans="2:7">
      <c r="B20" s="7" t="s">
        <v>740</v>
      </c>
      <c r="C20" s="7" t="s">
        <v>741</v>
      </c>
      <c r="D20" s="7" t="s">
        <v>9</v>
      </c>
      <c r="E20" s="7" t="s">
        <v>285</v>
      </c>
      <c r="F20" s="7" t="s">
        <v>742</v>
      </c>
      <c r="G20" s="7" t="s">
        <v>10</v>
      </c>
    </row>
    <row r="21" spans="2:7" ht="15.95">
      <c r="B21" s="19" t="s">
        <v>743</v>
      </c>
      <c r="C21" s="7" t="s">
        <v>744</v>
      </c>
      <c r="D21" s="7" t="str">
        <f>IF(C20="Default","Yes","NA")</f>
        <v>Yes</v>
      </c>
      <c r="E21" s="7" t="s">
        <v>285</v>
      </c>
      <c r="G21" s="7" t="s">
        <v>10</v>
      </c>
    </row>
    <row r="22" spans="2:7" ht="15.95">
      <c r="B22" s="19" t="s">
        <v>745</v>
      </c>
      <c r="D22" s="7" t="str">
        <f>IF(C21="Other","Yes","NA")</f>
        <v>NA</v>
      </c>
      <c r="E22" s="7" t="s">
        <v>285</v>
      </c>
      <c r="G22" s="7" t="s">
        <v>10</v>
      </c>
    </row>
    <row r="23" spans="2:7" ht="15.95">
      <c r="B23" s="19" t="s">
        <v>746</v>
      </c>
      <c r="C23" s="7" t="s">
        <v>10</v>
      </c>
      <c r="D23" s="7" t="s">
        <v>9</v>
      </c>
      <c r="E23" s="7" t="s">
        <v>285</v>
      </c>
      <c r="G23" s="7" t="s">
        <v>10</v>
      </c>
    </row>
    <row r="24" spans="2:7" s="150" customFormat="1">
      <c r="B24" s="150" t="s">
        <v>747</v>
      </c>
    </row>
    <row r="25" spans="2:7">
      <c r="B25" s="140" t="s">
        <v>748</v>
      </c>
    </row>
    <row r="26" spans="2:7">
      <c r="B26" s="7" t="s">
        <v>749</v>
      </c>
      <c r="C26" s="10">
        <f>IF(C8="Option 2 (Estimated)","NA",IF(C4="Application A",0.75,IF(AND(C4="Application B",C9="Humid/wet conditions"),0.85,IF(AND(C4="Application B",C9="Dry conditions"),0.8,))))</f>
        <v>0.85</v>
      </c>
      <c r="D26" s="7" t="str">
        <f>IF(C8="Option 1 (Default)","Yes","NA")</f>
        <v>Yes</v>
      </c>
      <c r="E26" s="7" t="s">
        <v>284</v>
      </c>
      <c r="G26" s="7" t="s">
        <v>10</v>
      </c>
    </row>
    <row r="27" spans="2:7">
      <c r="B27" s="140" t="s">
        <v>750</v>
      </c>
    </row>
    <row r="28" spans="2:7">
      <c r="B28" s="7" t="s">
        <v>751</v>
      </c>
      <c r="C28" s="151" t="str">
        <f>IF(C8="Option 1 (Default)","NA",IF(C11="Weighed",0.02,IF(C11="Estimated",0.1)))</f>
        <v>NA</v>
      </c>
      <c r="D28" s="7" t="str">
        <f>IF(C8="Option 2 (Estimated)","Yes","NA")</f>
        <v>NA</v>
      </c>
      <c r="E28" s="7" t="s">
        <v>284</v>
      </c>
      <c r="G28" s="7" t="s">
        <v>10</v>
      </c>
    </row>
    <row r="29" spans="2:7">
      <c r="B29" s="7" t="s">
        <v>752</v>
      </c>
      <c r="C29" s="151" t="str">
        <f>IF(C8="Option 1 (Default)","NA",IF(C20="Measure",0.05,IF(C20="Default",0.1)))</f>
        <v>NA</v>
      </c>
      <c r="D29" s="7" t="str">
        <f>IF(C8="Option 2 (Estimated)","Yes","NA")</f>
        <v>NA</v>
      </c>
      <c r="E29" s="7" t="s">
        <v>284</v>
      </c>
      <c r="G29" s="7" t="s">
        <v>10</v>
      </c>
    </row>
    <row r="30" spans="2:7">
      <c r="B30" s="7" t="s">
        <v>753</v>
      </c>
      <c r="C30" s="151" t="str">
        <f>IF(C8="Option 1 (Default)","NA",IF(OR(C12="Yes",C13="Yes"),0.05,0.15))</f>
        <v>NA</v>
      </c>
      <c r="D30" s="7" t="str">
        <f>IF(C8="Option 2 (Estimated)","Yes","NA")</f>
        <v>NA</v>
      </c>
      <c r="E30" s="7" t="s">
        <v>284</v>
      </c>
      <c r="G30" s="7" t="s">
        <v>10</v>
      </c>
    </row>
    <row r="31" spans="2:7">
      <c r="B31" s="7" t="s">
        <v>754</v>
      </c>
      <c r="C31" s="151" t="str">
        <f>IF(C8="Option 1 (Default)","NA",IF(C12="Yes",0,0.05))</f>
        <v>NA</v>
      </c>
      <c r="D31" s="7" t="str">
        <f>IF(C8="Option 2 (Estimated)","Yes","NA")</f>
        <v>NA</v>
      </c>
      <c r="E31" s="7" t="s">
        <v>284</v>
      </c>
      <c r="G31" s="7" t="s">
        <v>10</v>
      </c>
    </row>
    <row r="32" spans="2:7">
      <c r="B32" s="7" t="s">
        <v>755</v>
      </c>
      <c r="C32" s="151" t="str">
        <f>IF(C8="Option 1 (Default)","NA",IF(C14="Managed",0,IF(C14="Unmanaged",0.5)))</f>
        <v>NA</v>
      </c>
      <c r="D32" s="7" t="str">
        <f>IF(C8="Option 2 (Estimated)","Yes","NA")</f>
        <v>NA</v>
      </c>
      <c r="E32" s="7" t="s">
        <v>284</v>
      </c>
      <c r="G32" s="7" t="s">
        <v>10</v>
      </c>
    </row>
    <row r="33" spans="1:7" ht="17.100000000000001">
      <c r="B33" s="7" t="s">
        <v>756</v>
      </c>
      <c r="C33" s="151" t="str">
        <f>IF(C8="Option 1 (Default)","NA",IF(AND(C4="Application B",C15="Yes",C84&gt;0.2),0.05,IF(AND(C4="Application A",C16="Yes"),0.05,0.2)))</f>
        <v>NA</v>
      </c>
      <c r="D33" s="7" t="str">
        <f>IF(C8="Option 2 (Estimated)","Yes","NA")</f>
        <v>NA</v>
      </c>
      <c r="E33" s="7" t="s">
        <v>284</v>
      </c>
      <c r="G33" s="7" t="s">
        <v>10</v>
      </c>
    </row>
    <row r="34" spans="1:7">
      <c r="A34" s="7" t="s">
        <v>757</v>
      </c>
      <c r="B34" s="7" t="s">
        <v>758</v>
      </c>
      <c r="C34" s="10" t="str">
        <f>IF(C8="Option 1 (Default)","NA",SQRT(C28^2+C29^2+C30^2+C31^2+C32^2+C33^2))</f>
        <v>NA</v>
      </c>
      <c r="D34" s="7" t="str">
        <f>IF(C8="Option 2 (Estimated)","Yes","NA")</f>
        <v>NA</v>
      </c>
      <c r="E34" s="7" t="s">
        <v>284</v>
      </c>
      <c r="G34" s="7" t="s">
        <v>10</v>
      </c>
    </row>
    <row r="35" spans="1:7">
      <c r="A35" s="7" t="s">
        <v>759</v>
      </c>
      <c r="B35" s="7" t="s">
        <v>760</v>
      </c>
      <c r="C35" s="10" t="str">
        <f>IF(C8="Option 1 (Default)","NA",1/(1+C34))</f>
        <v>NA</v>
      </c>
      <c r="D35" s="7" t="str">
        <f>IF(C8="Option 2 (Estimated)","Yes","NA")</f>
        <v>NA</v>
      </c>
      <c r="E35" s="7" t="s">
        <v>284</v>
      </c>
      <c r="G35" s="7" t="s">
        <v>10</v>
      </c>
    </row>
    <row r="36" spans="1:7" s="150" customFormat="1">
      <c r="B36" s="150" t="s">
        <v>761</v>
      </c>
    </row>
    <row r="37" spans="1:7">
      <c r="B37" s="140" t="s">
        <v>762</v>
      </c>
    </row>
    <row r="38" spans="1:7">
      <c r="A38" s="7" t="s">
        <v>763</v>
      </c>
      <c r="B38" s="7" t="s">
        <v>764</v>
      </c>
      <c r="D38" s="7" t="str">
        <f>IF(C4="Application A","Yes","NA")</f>
        <v>NA</v>
      </c>
      <c r="E38" s="7" t="s">
        <v>176</v>
      </c>
      <c r="G38" s="7" t="s">
        <v>10</v>
      </c>
    </row>
    <row r="39" spans="1:7">
      <c r="B39" s="140" t="s">
        <v>717</v>
      </c>
    </row>
    <row r="40" spans="1:7" ht="15.95">
      <c r="A40" s="7" t="s">
        <v>765</v>
      </c>
      <c r="B40" s="8" t="s">
        <v>766</v>
      </c>
      <c r="D40" s="7" t="str">
        <f>IF(AND(C4="Application B",C23="No"),"Yes","NA")</f>
        <v>Yes</v>
      </c>
      <c r="E40" s="7" t="s">
        <v>176</v>
      </c>
      <c r="G40" s="7" t="s">
        <v>9</v>
      </c>
    </row>
    <row r="41" spans="1:7" ht="15.95">
      <c r="B41" s="152" t="s">
        <v>767</v>
      </c>
    </row>
    <row r="42" spans="1:7" ht="15.95">
      <c r="A42" s="7" t="s">
        <v>768</v>
      </c>
      <c r="B42" s="8" t="s">
        <v>769</v>
      </c>
      <c r="D42" s="7" t="str">
        <f>IF(AND(C4="Application B",C23="No"),"Yes","NA")</f>
        <v>Yes</v>
      </c>
      <c r="E42" s="7" t="s">
        <v>176</v>
      </c>
      <c r="G42" s="7" t="s">
        <v>10</v>
      </c>
    </row>
    <row r="43" spans="1:7">
      <c r="A43" s="7" t="s">
        <v>770</v>
      </c>
      <c r="B43" s="7" t="s">
        <v>771</v>
      </c>
      <c r="D43" s="7" t="str">
        <f>IF(C4="Application B","Yes","NA")</f>
        <v>Yes</v>
      </c>
      <c r="E43" s="7" t="s">
        <v>176</v>
      </c>
      <c r="G43" s="7" t="s">
        <v>10</v>
      </c>
    </row>
    <row r="44" spans="1:7">
      <c r="A44" s="7" t="s">
        <v>772</v>
      </c>
      <c r="B44" s="7" t="s">
        <v>773</v>
      </c>
      <c r="C44" s="10" t="e">
        <f>IF(C4="Application A","NA",C40/C42)</f>
        <v>#DIV/0!</v>
      </c>
      <c r="D44" s="7" t="str">
        <f>IF(AND(C4="Application B",C23="No"),"Yes","NA")</f>
        <v>Yes</v>
      </c>
      <c r="E44" s="7" t="s">
        <v>284</v>
      </c>
      <c r="G44" s="7" t="s">
        <v>10</v>
      </c>
    </row>
    <row r="45" spans="1:7">
      <c r="A45" s="7" t="s">
        <v>774</v>
      </c>
      <c r="B45" s="7" t="s">
        <v>775</v>
      </c>
      <c r="C45" s="10" t="e">
        <f>IF(C4="Application A","NA",C43*C44)</f>
        <v>#DIV/0!</v>
      </c>
      <c r="D45" s="7" t="str">
        <f>IF(AND(C4="Application B",C23="No"),"Yes","NA")</f>
        <v>Yes</v>
      </c>
      <c r="E45" s="7" t="s">
        <v>284</v>
      </c>
      <c r="G45" s="7" t="s">
        <v>10</v>
      </c>
    </row>
    <row r="46" spans="1:7" s="150" customFormat="1">
      <c r="B46" s="150" t="s">
        <v>776</v>
      </c>
    </row>
    <row r="47" spans="1:7">
      <c r="B47" s="140" t="s">
        <v>741</v>
      </c>
    </row>
    <row r="48" spans="1:7">
      <c r="A48" s="7" t="s">
        <v>777</v>
      </c>
      <c r="B48" s="7" t="s">
        <v>778</v>
      </c>
      <c r="C48" s="10" t="str">
        <f>IF(AND(C4="Application B",C6="Yes",C17="Default"),0.05,IF((C4="Application A"),0.05,"NA"))</f>
        <v>NA</v>
      </c>
      <c r="D48" s="7" t="str">
        <f>IF(AND(C4="Application B",C6="Yes",C17="Default"),"Yes",IF((C4="Application A"),"Yes","NA"))</f>
        <v>NA</v>
      </c>
      <c r="E48" s="7" t="s">
        <v>284</v>
      </c>
      <c r="G48" s="7" t="s">
        <v>10</v>
      </c>
    </row>
    <row r="49" spans="1:9">
      <c r="B49" s="140" t="s">
        <v>779</v>
      </c>
    </row>
    <row r="50" spans="1:9">
      <c r="A50" s="7" t="s">
        <v>780</v>
      </c>
      <c r="B50" s="9" t="s">
        <v>781</v>
      </c>
      <c r="D50" s="7" t="str">
        <f>IF(AND(C4="Application B",C6="yes",C17="Measure"),"Yes","NA")</f>
        <v>NA</v>
      </c>
      <c r="E50" s="7" t="s">
        <v>176</v>
      </c>
      <c r="G50" s="7" t="s">
        <v>10</v>
      </c>
    </row>
    <row r="51" spans="1:9">
      <c r="A51" s="7" t="s">
        <v>782</v>
      </c>
      <c r="B51" s="7" t="s">
        <v>783</v>
      </c>
      <c r="D51" s="7" t="str">
        <f>IF(AND(C4="Application B",C6="yes",C17="Measure"),"Yes","NA")</f>
        <v>NA</v>
      </c>
      <c r="E51" s="7" t="s">
        <v>176</v>
      </c>
      <c r="G51" s="7" t="s">
        <v>10</v>
      </c>
    </row>
    <row r="52" spans="1:9">
      <c r="A52" s="7" t="s">
        <v>784</v>
      </c>
      <c r="B52" s="7" t="s">
        <v>785</v>
      </c>
      <c r="D52" s="7" t="str">
        <f>IF(AND(C4="Application B",C6="yes",C17="Measure"),"Yes","NA")</f>
        <v>NA</v>
      </c>
      <c r="E52" s="7" t="s">
        <v>176</v>
      </c>
      <c r="G52" s="7" t="s">
        <v>10</v>
      </c>
    </row>
    <row r="53" spans="1:9">
      <c r="A53" s="7" t="s">
        <v>786</v>
      </c>
      <c r="B53" s="7" t="s">
        <v>787</v>
      </c>
      <c r="D53" s="7" t="str">
        <f>IF(AND(C4="Application B",C6="yes",C17="Measure"),"Yes","NA")</f>
        <v>NA</v>
      </c>
      <c r="E53" s="7" t="s">
        <v>176</v>
      </c>
      <c r="G53" s="7" t="s">
        <v>10</v>
      </c>
    </row>
    <row r="54" spans="1:9">
      <c r="A54" s="7" t="s">
        <v>788</v>
      </c>
      <c r="B54" s="7" t="s">
        <v>778</v>
      </c>
      <c r="C54" s="10" t="str">
        <f>IF(AND(C4="Application B",C6="Yes",C17="Measure"),0.7*(12/16)*C50/C51*(C52*C53),"NA")</f>
        <v>NA</v>
      </c>
      <c r="D54" s="7" t="str">
        <f>IF(AND(C4="Application B",C6="yes",C17="Measure"),"Yes","NA")</f>
        <v>NA</v>
      </c>
      <c r="E54" s="7" t="s">
        <v>284</v>
      </c>
      <c r="G54" s="7" t="s">
        <v>10</v>
      </c>
    </row>
    <row r="55" spans="1:9">
      <c r="B55" s="140" t="s">
        <v>789</v>
      </c>
    </row>
    <row r="56" spans="1:9" ht="15.95">
      <c r="A56" s="7" t="s">
        <v>790</v>
      </c>
      <c r="B56" s="19" t="s">
        <v>791</v>
      </c>
      <c r="D56" s="7" t="str">
        <f>IF(AND(C4="Application B",C7="yes"),"Yes","NA")</f>
        <v>Yes</v>
      </c>
      <c r="E56" s="7" t="s">
        <v>176</v>
      </c>
      <c r="G56" s="7" t="s">
        <v>10</v>
      </c>
    </row>
    <row r="57" spans="1:9">
      <c r="A57" s="7" t="s">
        <v>782</v>
      </c>
      <c r="B57" s="7" t="s">
        <v>783</v>
      </c>
      <c r="D57" s="7" t="str">
        <f>IF(AND(C4="Application B",C7="yes"),"Yes","NA")</f>
        <v>Yes</v>
      </c>
      <c r="E57" s="7" t="s">
        <v>176</v>
      </c>
      <c r="G57" s="7" t="s">
        <v>10</v>
      </c>
      <c r="I57" s="9"/>
    </row>
    <row r="58" spans="1:9">
      <c r="A58" s="7" t="s">
        <v>786</v>
      </c>
      <c r="B58" s="7" t="s">
        <v>787</v>
      </c>
      <c r="D58" s="7" t="str">
        <f>IF(AND(C4="Application B",C7="yes"),"Yes","NA")</f>
        <v>Yes</v>
      </c>
      <c r="E58" s="7" t="s">
        <v>176</v>
      </c>
      <c r="G58" s="7" t="s">
        <v>10</v>
      </c>
    </row>
    <row r="59" spans="1:9">
      <c r="A59" s="7" t="s">
        <v>788</v>
      </c>
      <c r="B59" s="9" t="s">
        <v>778</v>
      </c>
      <c r="C59" s="10" t="e">
        <f>IF(AND(C4="Application B",C7="Yes"),0.7*(12/16)*C56/(C57*C58),"NA")</f>
        <v>#DIV/0!</v>
      </c>
      <c r="D59" s="7" t="str">
        <f>IF(AND(C4="Application B",C7="yes"),"Yes","NA")</f>
        <v>Yes</v>
      </c>
      <c r="E59" s="7" t="s">
        <v>284</v>
      </c>
      <c r="G59" s="7" t="s">
        <v>10</v>
      </c>
    </row>
    <row r="60" spans="1:9" s="150" customFormat="1">
      <c r="B60" s="150" t="s">
        <v>792</v>
      </c>
    </row>
    <row r="61" spans="1:9">
      <c r="B61" s="140" t="s">
        <v>741</v>
      </c>
    </row>
    <row r="62" spans="1:9">
      <c r="A62" s="7" t="s">
        <v>793</v>
      </c>
      <c r="B62" s="7" t="s">
        <v>794</v>
      </c>
      <c r="C62" s="10">
        <f>IF(AND(C4="Application B",C18="Yes"),"NA",IF(C19="Anaerobic managed solid waste disposal sites",1, IF(C19="Semi-aerobic managed solid waste disposal sites",0.5,IF(C19="Unmanaged solid waste disposal sites – deep",0.8,IF(C19="Unmanaged-shallow solid waste disposal sites or stockpiles that are considered SWDS",0.4)))))</f>
        <v>0.8</v>
      </c>
      <c r="D62" s="7" t="str">
        <f>IF(AND(C4="Application B",C18="Yes"),"NA","Yes")</f>
        <v>Yes</v>
      </c>
      <c r="E62" s="7" t="s">
        <v>284</v>
      </c>
      <c r="G62" s="7" t="s">
        <v>10</v>
      </c>
    </row>
    <row r="63" spans="1:9">
      <c r="B63" s="140" t="s">
        <v>795</v>
      </c>
    </row>
    <row r="64" spans="1:9">
      <c r="A64" s="7" t="s">
        <v>796</v>
      </c>
      <c r="B64" s="7" t="s">
        <v>797</v>
      </c>
      <c r="D64" s="7" t="str">
        <f>IF(AND(C4="Application B",C18="Yes"),"Yes","NA")</f>
        <v>NA</v>
      </c>
      <c r="E64" s="7" t="s">
        <v>176</v>
      </c>
      <c r="G64" s="7" t="s">
        <v>10</v>
      </c>
    </row>
    <row r="65" spans="1:7">
      <c r="A65" s="7" t="s">
        <v>798</v>
      </c>
      <c r="B65" s="7" t="s">
        <v>799</v>
      </c>
      <c r="D65" s="7" t="str">
        <f>IF(AND(C4="Application B",C18="Yes"),"Yes","NA")</f>
        <v>NA</v>
      </c>
      <c r="E65" s="7" t="s">
        <v>176</v>
      </c>
      <c r="G65" s="7" t="s">
        <v>10</v>
      </c>
    </row>
    <row r="66" spans="1:7">
      <c r="A66" s="7" t="s">
        <v>800</v>
      </c>
      <c r="B66" s="7" t="s">
        <v>794</v>
      </c>
      <c r="C66" s="10" t="str">
        <f>IF(AND(C4="Application B",C18="yes"),MAX((1-2/C65),C64/C65), "NA")</f>
        <v>NA</v>
      </c>
      <c r="D66" s="7" t="str">
        <f>IF(AND(C4="Application B",C18="Yes"),"Yes","NA")</f>
        <v>NA</v>
      </c>
      <c r="E66" s="7" t="s">
        <v>284</v>
      </c>
      <c r="G66" s="7" t="s">
        <v>10</v>
      </c>
    </row>
    <row r="67" spans="1:7" s="150" customFormat="1">
      <c r="B67" s="150" t="s">
        <v>801</v>
      </c>
    </row>
    <row r="68" spans="1:7">
      <c r="B68" s="140" t="s">
        <v>741</v>
      </c>
    </row>
    <row r="69" spans="1:7">
      <c r="A69" s="7" t="s">
        <v>802</v>
      </c>
      <c r="B69" s="7" t="s">
        <v>787</v>
      </c>
      <c r="C69" s="151">
        <f>IF(AND(C20="Default",C21="Wood and wood products"),0.43,IF(AND(C20="Default",C21="Pulp, paper and cardboard (other than sludge)"),0.4,IF(AND(C20="Default",C21="Food, food waste, beverages and tobacco (other than sludge)"),0.15,IF(AND(C20="Default",C21="Textiles"),0.24,IF(AND(C20="Default",C21="Garden, yard and park waste"),0.2,IF(AND(C20="Default",C21="Glass, plastic, metal, other inert waste"),0, IF(AND(C20="Default",C21="Empty fruit brunches (EFB)"),0.2,IF(AND(C20="Default",C21="Industrial sludge"),0.09,IF(AND(C20="Default",C21="Domestic sludge"),0.05,"NA")))))))))</f>
        <v>0.4</v>
      </c>
      <c r="D69" s="7" t="str">
        <f>IF(AND(C4="Application B",C20="Measure"),"NA","Yes")</f>
        <v>Yes</v>
      </c>
      <c r="E69" s="7" t="s">
        <v>284</v>
      </c>
      <c r="G69" s="7" t="s">
        <v>10</v>
      </c>
    </row>
    <row r="70" spans="1:7">
      <c r="B70" s="140" t="s">
        <v>803</v>
      </c>
    </row>
    <row r="71" spans="1:7">
      <c r="A71" s="7" t="s">
        <v>804</v>
      </c>
      <c r="B71" s="7" t="s">
        <v>787</v>
      </c>
      <c r="D71" s="7" t="str">
        <f>IF(AND(C4="Application B",C20="Measure"),"Yes","NA")</f>
        <v>NA</v>
      </c>
      <c r="E71" s="7" t="s">
        <v>176</v>
      </c>
      <c r="G71" s="7" t="s">
        <v>10</v>
      </c>
    </row>
    <row r="72" spans="1:7" s="150" customFormat="1" ht="18.95">
      <c r="B72" s="153" t="s">
        <v>805</v>
      </c>
    </row>
    <row r="73" spans="1:7" ht="15.95">
      <c r="A73" s="7" t="s">
        <v>806</v>
      </c>
      <c r="B73" s="8" t="s">
        <v>807</v>
      </c>
      <c r="D73" s="7" t="s">
        <v>9</v>
      </c>
      <c r="E73" s="7" t="s">
        <v>176</v>
      </c>
      <c r="G73" s="7" t="s">
        <v>10</v>
      </c>
    </row>
    <row r="74" spans="1:7">
      <c r="A74" s="7" t="s">
        <v>808</v>
      </c>
      <c r="B74" s="7" t="s">
        <v>809</v>
      </c>
      <c r="D74" s="7" t="s">
        <v>9</v>
      </c>
      <c r="E74" s="7" t="s">
        <v>176</v>
      </c>
      <c r="G74" s="7" t="s">
        <v>10</v>
      </c>
    </row>
    <row r="75" spans="1:7">
      <c r="A75" s="7" t="s">
        <v>788</v>
      </c>
      <c r="B75" s="7" t="s">
        <v>778</v>
      </c>
      <c r="C75" s="10" t="e">
        <f>IF(C4="Application A",C48,IF(AND(C4="Application B",C6="Yes",C17="Default"),C48,IF(AND(C4="Application B",C6="Yes",C17="Measure"),C54, IF(AND(C4="Application B",C7="Yes",C17="Measure"),C59))))</f>
        <v>#DIV/0!</v>
      </c>
      <c r="D75" s="7" t="s">
        <v>9</v>
      </c>
      <c r="E75" s="7" t="s">
        <v>284</v>
      </c>
      <c r="G75" s="7" t="s">
        <v>10</v>
      </c>
    </row>
    <row r="76" spans="1:7">
      <c r="A76" s="7" t="s">
        <v>810</v>
      </c>
      <c r="B76" s="7" t="s">
        <v>775</v>
      </c>
      <c r="C76" s="10" t="e">
        <f>IF(C4="Application A",C38,IF(AND(C4="Application B",C23="No"),C45,IF(AND(C4="Application B",C23="Yes"),C43)))</f>
        <v>#DIV/0!</v>
      </c>
      <c r="D76" s="7" t="s">
        <v>9</v>
      </c>
      <c r="E76" s="7" t="s">
        <v>284</v>
      </c>
      <c r="G76" s="7" t="s">
        <v>10</v>
      </c>
    </row>
    <row r="77" spans="1:7">
      <c r="A77" s="7" t="s">
        <v>759</v>
      </c>
      <c r="B77" s="7" t="s">
        <v>760</v>
      </c>
      <c r="C77" s="10">
        <f>IF(C8="Option 1 (Default)",C26,C35)</f>
        <v>0.85</v>
      </c>
      <c r="D77" s="7" t="s">
        <v>9</v>
      </c>
      <c r="E77" s="7" t="s">
        <v>284</v>
      </c>
      <c r="G77" s="7" t="s">
        <v>10</v>
      </c>
    </row>
    <row r="78" spans="1:7" ht="15.95" thickBot="1">
      <c r="A78" s="7" t="s">
        <v>811</v>
      </c>
      <c r="B78" s="7" t="s">
        <v>812</v>
      </c>
      <c r="D78" s="7" t="s">
        <v>9</v>
      </c>
      <c r="E78" s="7" t="s">
        <v>176</v>
      </c>
      <c r="G78" s="7" t="s">
        <v>10</v>
      </c>
    </row>
    <row r="79" spans="1:7" ht="15.95" thickBot="1">
      <c r="A79" s="7" t="s">
        <v>813</v>
      </c>
      <c r="B79" s="7" t="s">
        <v>814</v>
      </c>
      <c r="C79" s="126">
        <v>28</v>
      </c>
      <c r="D79" s="7" t="s">
        <v>9</v>
      </c>
      <c r="E79" s="7" t="s">
        <v>533</v>
      </c>
      <c r="G79" s="7" t="s">
        <v>10</v>
      </c>
    </row>
    <row r="80" spans="1:7" ht="15.95" thickBot="1">
      <c r="A80" s="7" t="s">
        <v>815</v>
      </c>
      <c r="B80" s="7" t="s">
        <v>816</v>
      </c>
      <c r="C80" s="126">
        <v>0.1</v>
      </c>
      <c r="D80" s="7" t="s">
        <v>9</v>
      </c>
      <c r="E80" s="7" t="s">
        <v>533</v>
      </c>
      <c r="G80" s="7" t="s">
        <v>10</v>
      </c>
    </row>
    <row r="81" spans="1:7" ht="15.95" thickBot="1">
      <c r="A81" s="7" t="s">
        <v>782</v>
      </c>
      <c r="B81" s="7" t="s">
        <v>783</v>
      </c>
      <c r="C81" s="126">
        <v>0.5</v>
      </c>
      <c r="D81" s="7" t="s">
        <v>9</v>
      </c>
      <c r="E81" s="7" t="s">
        <v>533</v>
      </c>
      <c r="G81" s="7" t="s">
        <v>10</v>
      </c>
    </row>
    <row r="82" spans="1:7">
      <c r="A82" s="7" t="s">
        <v>817</v>
      </c>
      <c r="B82" s="7" t="s">
        <v>794</v>
      </c>
      <c r="C82" s="10">
        <f>IF(AND(C4="Application B",C18="Yes"),C66,C62)</f>
        <v>0.8</v>
      </c>
      <c r="D82" s="7" t="s">
        <v>9</v>
      </c>
      <c r="E82" s="7" t="s">
        <v>284</v>
      </c>
      <c r="G82" s="7" t="s">
        <v>10</v>
      </c>
    </row>
    <row r="83" spans="1:7">
      <c r="A83" s="7" t="s">
        <v>804</v>
      </c>
      <c r="B83" s="7" t="s">
        <v>787</v>
      </c>
      <c r="C83" s="151">
        <f>IF(C20="Default",C69,C71)</f>
        <v>0.4</v>
      </c>
      <c r="D83" s="7" t="s">
        <v>9</v>
      </c>
      <c r="E83" s="7" t="s">
        <v>284</v>
      </c>
      <c r="G83" s="7" t="s">
        <v>10</v>
      </c>
    </row>
    <row r="84" spans="1:7">
      <c r="A84" s="7" t="s">
        <v>263</v>
      </c>
      <c r="B84" s="7" t="s">
        <v>818</v>
      </c>
      <c r="C84" s="10">
        <f>IF(AND(C21="Pulp, paper and cardboard (other than sludge)",C10="Boreal and Temperate",C9="Dry conditions"),0.04,IF(AND(C21="Pulp, paper and cardboard (other than sludge)",C10="Boreal and Temperate",C9="Humid/wet conditions"),0.06,IF(AND(C21="Pulp, paper and cardboard (other than sludge)",C10="Tropical",C9="Dry conditions"),0.045,IF(AND(C21="Pulp, paper and cardboard (other than sludge)",C10="Tropical",C9="Humid/wet conditions"),0.07,IF(AND(C21="Wood and wood products",C10="Boreal and Temperate",C9="Dry conditions"),0.02,IF(AND(C21="Wood and wood products",C10="Boreal and Temperate",C9="Humid/wet conditions"),0.03,IF(AND(C21="Wood and wood products",C10="Tropical",C9="Dry conditions"),0.025,IF(AND(C21="Wood and wood products",C10="Tropical",C9="Humid/wet conditions"),0.035,IF(AND(C21="Garden, yard and park waste",C10="Boreal and Temperate",C9="Dry conditions"),0.05,IF(AND(C21="Garden, yard and park waste",C10="Boreal and Temperate",C9="Humid/wet conditions"),0.1,IF(AND(C21="Garden, yard and park waste",C10="Tropical",C9="Dry conditions"),0.065,IF(AND(C21="Garden, yard and park waste",C10="Tropical",C9="Humid/wet conditions"),0.17,IF(AND(C21="Food, food waste, beverages and tobacco (other than sludge)",C10="Boreal and Temperate",C9="Dry conditions"),0.06,IF(AND(C21="Food, food waste, beverages and tobacco (other than sludge)",C10="Boreal and Temperate",C9="Humid/wet conditions"),0.185,IF(AND(C21="Food, food waste, beverages and tobacco (other than sludge)",C10="Tropical",C9="Dry conditions"),0.085,IF(AND(C21="Food, food waste, beverages and tobacco (other than sludge)",C10="Tropical",C9="Humid/wet conditions"),0.4))))))))))))))))</f>
        <v>7.0000000000000007E-2</v>
      </c>
      <c r="D84" s="7" t="s">
        <v>9</v>
      </c>
      <c r="E84" s="7" t="s">
        <v>284</v>
      </c>
      <c r="F84" s="7" t="s">
        <v>819</v>
      </c>
      <c r="G84" s="7" t="s">
        <v>10</v>
      </c>
    </row>
    <row r="85" spans="1:7">
      <c r="A85" s="7" t="s">
        <v>119</v>
      </c>
      <c r="B85" s="7" t="s">
        <v>820</v>
      </c>
      <c r="C85" s="10" t="str">
        <f>IF(C21="Other",C22,C21)</f>
        <v>Pulp, paper and cardboard (other than sludge)</v>
      </c>
      <c r="D85" s="7" t="s">
        <v>9</v>
      </c>
      <c r="E85" s="7" t="s">
        <v>284</v>
      </c>
      <c r="G85" s="7" t="s">
        <v>10</v>
      </c>
    </row>
    <row r="86" spans="1:7">
      <c r="A86" s="7" t="s">
        <v>821</v>
      </c>
      <c r="B86" s="7" t="s">
        <v>822</v>
      </c>
      <c r="C86" s="10" t="e">
        <f>C77*(1-C78)*C79*(1-C80)*(16/12)*C81*C75*C82*(C76*C83*EXP(-C84*(C74-C73))*(1-EXP(-C84)))</f>
        <v>#DIV/0!</v>
      </c>
      <c r="D86" s="7" t="s">
        <v>9</v>
      </c>
      <c r="E86" s="7" t="s">
        <v>284</v>
      </c>
      <c r="G86" s="7" t="s">
        <v>10</v>
      </c>
    </row>
    <row r="87" spans="1:7">
      <c r="B87" s="154" t="s">
        <v>823</v>
      </c>
      <c r="F87" s="7" t="s">
        <v>824</v>
      </c>
    </row>
  </sheetData>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48451-E758-6948-BD06-7127B9C0D37B}">
  <dimension ref="A1:D8"/>
  <sheetViews>
    <sheetView workbookViewId="0">
      <selection activeCell="F24" sqref="F24"/>
    </sheetView>
  </sheetViews>
  <sheetFormatPr defaultColWidth="8.875" defaultRowHeight="15"/>
  <cols>
    <col min="1" max="1" width="14.5" style="136" customWidth="1"/>
    <col min="2" max="2" width="26.5" style="7" customWidth="1"/>
    <col min="3" max="3" width="23.625" style="7" customWidth="1"/>
    <col min="4" max="4" width="25.125" style="7" customWidth="1"/>
    <col min="5" max="16384" width="8.875" style="7"/>
  </cols>
  <sheetData>
    <row r="1" spans="1:4" s="136" customFormat="1">
      <c r="B1" s="136" t="s">
        <v>715</v>
      </c>
      <c r="C1" s="136" t="s">
        <v>413</v>
      </c>
      <c r="D1" s="136" t="s">
        <v>654</v>
      </c>
    </row>
    <row r="2" spans="1:4">
      <c r="A2" s="136" t="s">
        <v>825</v>
      </c>
      <c r="B2" s="7" t="e">
        <f>IF('[5]Tool 04-SWDS-Yearly'!C3="Baseline Emissions (BE)",'[5]Tool 04-SWDS-Yearly'!C86)</f>
        <v>#DIV/0!</v>
      </c>
      <c r="C2" s="7" t="b">
        <f>IF('[5]Tool 04-SWDS-Yearly'!C3="Project Emissions (PE)",'[5]Tool 04-SWDS-Yearly'!C86)</f>
        <v>0</v>
      </c>
      <c r="D2" s="7" t="b">
        <f>IF('[5]Tool 04-SWDS-Yearly'!C3="Leakage Emissions (LE)",'[5]Tool 04-SWDS-Yearly'!C86)</f>
        <v>0</v>
      </c>
    </row>
    <row r="3" spans="1:4">
      <c r="A3" s="155" t="s">
        <v>825</v>
      </c>
      <c r="B3" s="18"/>
      <c r="C3" s="18"/>
      <c r="D3" s="18"/>
    </row>
    <row r="4" spans="1:4">
      <c r="A4" s="155" t="s">
        <v>825</v>
      </c>
      <c r="B4" s="18"/>
      <c r="C4" s="18"/>
      <c r="D4" s="18"/>
    </row>
    <row r="5" spans="1:4">
      <c r="A5" s="155" t="s">
        <v>825</v>
      </c>
      <c r="B5" s="18"/>
      <c r="C5" s="18"/>
      <c r="D5" s="18"/>
    </row>
    <row r="6" spans="1:4">
      <c r="A6" s="155" t="s">
        <v>825</v>
      </c>
      <c r="B6" s="18"/>
      <c r="C6" s="18"/>
      <c r="D6" s="18"/>
    </row>
    <row r="7" spans="1:4">
      <c r="A7" s="155" t="s">
        <v>825</v>
      </c>
      <c r="B7" s="18"/>
      <c r="C7" s="18"/>
      <c r="D7" s="18"/>
    </row>
    <row r="8" spans="1:4" s="136" customFormat="1">
      <c r="A8" s="136" t="s">
        <v>826</v>
      </c>
      <c r="B8" s="136" t="e">
        <f>SUM(B2:B7)</f>
        <v>#DIV/0!</v>
      </c>
      <c r="C8" s="136">
        <f t="shared" ref="C8" si="0">SUM(C2:C7)</f>
        <v>0</v>
      </c>
      <c r="D8" s="136">
        <f>SUM(D2:D7)</f>
        <v>0</v>
      </c>
    </row>
  </sheetData>
  <pageMargins left="0.7" right="0.7" top="0.75" bottom="0.75" header="0.3" footer="0.3"/>
  <legacy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C883BF-EB0E-9C48-8AC6-56A1FF7AC143}">
  <dimension ref="A1:M11"/>
  <sheetViews>
    <sheetView workbookViewId="0">
      <selection activeCell="B26" sqref="B26"/>
    </sheetView>
  </sheetViews>
  <sheetFormatPr defaultColWidth="8.875" defaultRowHeight="15"/>
  <cols>
    <col min="1" max="1" width="22.375" style="7" customWidth="1"/>
    <col min="2" max="2" width="27.375" style="7" customWidth="1"/>
    <col min="3" max="3" width="20.375" style="7" customWidth="1"/>
    <col min="4" max="4" width="19.5" style="7" customWidth="1"/>
    <col min="5" max="5" width="26.375" style="7" customWidth="1"/>
    <col min="6" max="6" width="29.5" style="7" customWidth="1"/>
    <col min="7" max="9" width="31.125" style="7" customWidth="1"/>
    <col min="10" max="10" width="13.5" style="7" customWidth="1"/>
    <col min="11" max="16384" width="8.875" style="7"/>
  </cols>
  <sheetData>
    <row r="1" spans="1:13">
      <c r="A1" s="136" t="s">
        <v>827</v>
      </c>
      <c r="B1" s="136" t="s">
        <v>828</v>
      </c>
      <c r="C1" s="136" t="s">
        <v>829</v>
      </c>
      <c r="D1" s="136" t="s">
        <v>830</v>
      </c>
      <c r="E1" s="136" t="s">
        <v>831</v>
      </c>
      <c r="F1" s="136" t="s">
        <v>832</v>
      </c>
      <c r="G1" s="136" t="s">
        <v>833</v>
      </c>
      <c r="H1" s="136" t="s">
        <v>834</v>
      </c>
      <c r="I1" s="136" t="s">
        <v>835</v>
      </c>
    </row>
    <row r="2" spans="1:13">
      <c r="A2" s="7" t="s">
        <v>715</v>
      </c>
      <c r="B2" s="7" t="s">
        <v>762</v>
      </c>
      <c r="C2" s="7" t="s">
        <v>836</v>
      </c>
      <c r="D2" s="7" t="s">
        <v>9</v>
      </c>
      <c r="E2" s="7" t="s">
        <v>723</v>
      </c>
      <c r="F2" s="7" t="s">
        <v>741</v>
      </c>
      <c r="G2" s="7" t="s">
        <v>725</v>
      </c>
      <c r="H2" s="7" t="s">
        <v>837</v>
      </c>
      <c r="I2" s="7" t="s">
        <v>838</v>
      </c>
      <c r="J2" s="7" t="s">
        <v>839</v>
      </c>
      <c r="K2" s="7" t="s">
        <v>736</v>
      </c>
      <c r="L2" s="7" t="s">
        <v>732</v>
      </c>
      <c r="M2" s="7" t="s">
        <v>840</v>
      </c>
    </row>
    <row r="3" spans="1:13" ht="32.1">
      <c r="A3" s="7" t="s">
        <v>413</v>
      </c>
      <c r="B3" s="7" t="s">
        <v>717</v>
      </c>
      <c r="C3" s="7" t="s">
        <v>841</v>
      </c>
      <c r="D3" s="7" t="s">
        <v>10</v>
      </c>
      <c r="E3" s="7" t="s">
        <v>842</v>
      </c>
      <c r="F3" s="7" t="s">
        <v>736</v>
      </c>
      <c r="G3" s="7" t="s">
        <v>843</v>
      </c>
      <c r="H3" s="7" t="s">
        <v>670</v>
      </c>
      <c r="I3" s="8" t="s">
        <v>744</v>
      </c>
      <c r="J3" s="7" t="s">
        <v>728</v>
      </c>
      <c r="K3" s="7" t="s">
        <v>741</v>
      </c>
      <c r="L3" s="7" t="s">
        <v>844</v>
      </c>
      <c r="M3" s="7" t="s">
        <v>845</v>
      </c>
    </row>
    <row r="4" spans="1:13">
      <c r="A4" s="7" t="s">
        <v>654</v>
      </c>
      <c r="I4" s="7" t="s">
        <v>846</v>
      </c>
      <c r="M4" s="7" t="s">
        <v>739</v>
      </c>
    </row>
    <row r="5" spans="1:13">
      <c r="I5" s="7" t="s">
        <v>847</v>
      </c>
      <c r="M5" s="7" t="s">
        <v>848</v>
      </c>
    </row>
    <row r="6" spans="1:13">
      <c r="I6" s="7" t="s">
        <v>849</v>
      </c>
    </row>
    <row r="7" spans="1:13">
      <c r="I7" s="7" t="s">
        <v>850</v>
      </c>
    </row>
    <row r="8" spans="1:13">
      <c r="I8" s="7" t="s">
        <v>851</v>
      </c>
    </row>
    <row r="9" spans="1:13">
      <c r="I9" s="7" t="s">
        <v>852</v>
      </c>
    </row>
    <row r="10" spans="1:13">
      <c r="I10" s="7" t="s">
        <v>853</v>
      </c>
    </row>
    <row r="11" spans="1:13">
      <c r="I11" s="7" t="s">
        <v>854</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C77EA-080F-0742-AE76-4CD637257EA1}">
  <dimension ref="A1:H24"/>
  <sheetViews>
    <sheetView workbookViewId="0">
      <selection activeCell="B22" sqref="B22"/>
    </sheetView>
  </sheetViews>
  <sheetFormatPr defaultColWidth="8.875" defaultRowHeight="15"/>
  <cols>
    <col min="1" max="1" width="12.125" style="7" customWidth="1"/>
    <col min="2" max="2" width="65.625" style="8" customWidth="1"/>
    <col min="3" max="3" width="38.375" style="9" customWidth="1"/>
    <col min="4" max="4" width="31.125" style="7" customWidth="1"/>
    <col min="5" max="5" width="20.125" style="7" customWidth="1"/>
    <col min="6" max="6" width="8.875" style="7"/>
    <col min="7" max="7" width="17.875" style="7" customWidth="1"/>
    <col min="8" max="8" width="21" style="7" customWidth="1"/>
    <col min="9" max="16384" width="8.875" style="7"/>
  </cols>
  <sheetData>
    <row r="1" spans="1:8" ht="15.95">
      <c r="A1" s="7" t="s">
        <v>5</v>
      </c>
      <c r="B1" s="8" t="s">
        <v>855</v>
      </c>
      <c r="C1" s="9" t="s">
        <v>856</v>
      </c>
      <c r="D1" s="7" t="s">
        <v>387</v>
      </c>
      <c r="E1" s="7" t="s">
        <v>3</v>
      </c>
      <c r="F1" s="7" t="s">
        <v>165</v>
      </c>
      <c r="G1" s="7" t="s">
        <v>857</v>
      </c>
      <c r="H1" s="7" t="s">
        <v>1</v>
      </c>
    </row>
    <row r="2" spans="1:8" s="6" customFormat="1" ht="15.95">
      <c r="B2" s="156" t="s">
        <v>388</v>
      </c>
      <c r="C2" s="157"/>
    </row>
    <row r="3" spans="1:8" ht="15.95">
      <c r="B3" s="8" t="s">
        <v>858</v>
      </c>
      <c r="C3" s="9" t="s">
        <v>391</v>
      </c>
      <c r="D3" s="7" t="s">
        <v>9</v>
      </c>
      <c r="E3" s="7" t="s">
        <v>302</v>
      </c>
      <c r="G3" s="7" t="s">
        <v>10</v>
      </c>
    </row>
    <row r="4" spans="1:8" ht="32.1">
      <c r="B4" s="8" t="s">
        <v>859</v>
      </c>
      <c r="C4" s="9" t="s">
        <v>860</v>
      </c>
      <c r="D4" s="7" t="s">
        <v>9</v>
      </c>
      <c r="E4" s="7" t="s">
        <v>302</v>
      </c>
      <c r="G4" s="7" t="s">
        <v>10</v>
      </c>
    </row>
    <row r="5" spans="1:8" ht="15.95">
      <c r="A5" s="7" t="s">
        <v>861</v>
      </c>
      <c r="B5" s="8" t="s">
        <v>862</v>
      </c>
      <c r="C5" s="9" t="s">
        <v>863</v>
      </c>
      <c r="D5" s="7" t="s">
        <v>9</v>
      </c>
      <c r="E5" s="7" t="s">
        <v>11</v>
      </c>
      <c r="G5" s="7" t="s">
        <v>10</v>
      </c>
    </row>
    <row r="6" spans="1:8" ht="15.95">
      <c r="B6" s="247" t="s">
        <v>864</v>
      </c>
      <c r="C6" s="247"/>
      <c r="D6" s="247"/>
      <c r="E6" s="158"/>
      <c r="F6" s="7" t="s">
        <v>865</v>
      </c>
    </row>
    <row r="7" spans="1:8" ht="32.1">
      <c r="B7" s="8" t="s">
        <v>866</v>
      </c>
      <c r="C7" s="9" t="s">
        <v>867</v>
      </c>
      <c r="D7" s="7" t="s">
        <v>9</v>
      </c>
      <c r="E7" s="7" t="s">
        <v>11</v>
      </c>
      <c r="G7" s="7" t="s">
        <v>10</v>
      </c>
    </row>
    <row r="8" spans="1:8" ht="32.1">
      <c r="B8" s="8" t="s">
        <v>868</v>
      </c>
      <c r="C8" s="9" t="s">
        <v>869</v>
      </c>
      <c r="D8" s="7" t="s">
        <v>9</v>
      </c>
      <c r="E8" s="7" t="s">
        <v>11</v>
      </c>
      <c r="G8" s="7" t="s">
        <v>10</v>
      </c>
    </row>
    <row r="9" spans="1:8" ht="32.1">
      <c r="B9" s="8" t="s">
        <v>870</v>
      </c>
      <c r="C9" s="9" t="s">
        <v>871</v>
      </c>
      <c r="D9" s="7" t="s">
        <v>9</v>
      </c>
      <c r="E9" s="7" t="s">
        <v>11</v>
      </c>
      <c r="G9" s="7" t="s">
        <v>10</v>
      </c>
    </row>
    <row r="10" spans="1:8" ht="15.95">
      <c r="B10" s="8" t="s">
        <v>872</v>
      </c>
      <c r="C10" s="9">
        <v>1</v>
      </c>
      <c r="D10" s="7" t="s">
        <v>9</v>
      </c>
      <c r="E10" s="7" t="s">
        <v>176</v>
      </c>
      <c r="G10" s="7" t="s">
        <v>10</v>
      </c>
    </row>
    <row r="11" spans="1:8" ht="32.1">
      <c r="A11" s="7" t="s">
        <v>873</v>
      </c>
      <c r="B11" s="8" t="s">
        <v>874</v>
      </c>
      <c r="C11" s="9">
        <v>2</v>
      </c>
      <c r="D11" s="7" t="s">
        <v>9</v>
      </c>
      <c r="E11" s="7" t="s">
        <v>176</v>
      </c>
      <c r="F11" s="7" t="s">
        <v>875</v>
      </c>
      <c r="G11" s="7" t="s">
        <v>10</v>
      </c>
    </row>
    <row r="12" spans="1:8" ht="32.1">
      <c r="B12" s="8" t="s">
        <v>876</v>
      </c>
      <c r="C12" s="9" t="s">
        <v>877</v>
      </c>
      <c r="D12" s="7" t="s">
        <v>9</v>
      </c>
      <c r="E12" s="7" t="s">
        <v>302</v>
      </c>
      <c r="G12" s="7" t="s">
        <v>10</v>
      </c>
    </row>
    <row r="13" spans="1:8" ht="29.1" customHeight="1">
      <c r="B13" s="8" t="s">
        <v>878</v>
      </c>
      <c r="C13" s="9" t="s">
        <v>879</v>
      </c>
      <c r="D13" s="7" t="s">
        <v>9</v>
      </c>
      <c r="E13" s="7" t="s">
        <v>302</v>
      </c>
      <c r="G13" s="7" t="s">
        <v>10</v>
      </c>
    </row>
    <row r="14" spans="1:8" ht="15.95">
      <c r="B14" s="8" t="s">
        <v>880</v>
      </c>
      <c r="C14" s="9" t="s">
        <v>881</v>
      </c>
      <c r="D14" s="7" t="str">
        <f>IF(C13="Road Vehicle","Yes","No")</f>
        <v>Yes</v>
      </c>
      <c r="E14" s="7" t="s">
        <v>302</v>
      </c>
      <c r="G14" s="7" t="s">
        <v>10</v>
      </c>
    </row>
    <row r="15" spans="1:8" s="6" customFormat="1" ht="15.95">
      <c r="B15" s="156" t="s">
        <v>877</v>
      </c>
      <c r="C15" s="157"/>
      <c r="D15" s="6" t="str">
        <f>IF(C3="Yes","NA",IF(C13="Rail","NA",IF(C12="Option A: Monitoring fuel consumption","Yes","NA")))</f>
        <v>Yes</v>
      </c>
    </row>
    <row r="16" spans="1:8" ht="32.1">
      <c r="B16" s="8" t="s">
        <v>882</v>
      </c>
      <c r="D16" s="7" t="str">
        <f>IF(C3="Yes","NA",IF(C13="Rail","NA",IF(C12="Option A: Monitoring fuel consumption","Yes","NA")))</f>
        <v>Yes</v>
      </c>
      <c r="E16" s="7" t="s">
        <v>11</v>
      </c>
      <c r="F16" s="7" t="s">
        <v>883</v>
      </c>
    </row>
    <row r="17" spans="1:7" ht="32.1">
      <c r="A17" s="7" t="s">
        <v>884</v>
      </c>
      <c r="B17" s="8" t="s">
        <v>885</v>
      </c>
      <c r="C17" s="9">
        <f>'Tool 03'!G3</f>
        <v>73.333333333333329</v>
      </c>
      <c r="D17" s="7" t="str">
        <f>IF(C3="Yes","NA",IF(C13="Rail","NA",IF(C12="Option A: Monitoring fuel consumption","Yes","NA")))</f>
        <v>Yes</v>
      </c>
      <c r="E17" s="7" t="s">
        <v>406</v>
      </c>
      <c r="F17" s="7" t="s">
        <v>886</v>
      </c>
      <c r="G17" s="7" t="s">
        <v>10</v>
      </c>
    </row>
    <row r="18" spans="1:7" s="6" customFormat="1" ht="15.95">
      <c r="B18" s="156" t="s">
        <v>887</v>
      </c>
      <c r="C18" s="157"/>
      <c r="D18" s="6" t="str">
        <f>IF(C3="Yes","NA",IF(OR(C12="Option B: Using conservative default values",C13="Rail"),"Yes","NA"))</f>
        <v>NA</v>
      </c>
    </row>
    <row r="19" spans="1:7" ht="15.95">
      <c r="A19" s="7" t="s">
        <v>888</v>
      </c>
      <c r="B19" s="8" t="s">
        <v>889</v>
      </c>
      <c r="C19" s="9">
        <v>100</v>
      </c>
      <c r="D19" s="7" t="str">
        <f>IF(C3="Yes","NA",IF(OR(C12="Option B: Using conservative default values",C13="Rail"),"Yes","NA"))</f>
        <v>NA</v>
      </c>
      <c r="E19" s="7" t="s">
        <v>176</v>
      </c>
      <c r="F19" s="7" t="s">
        <v>890</v>
      </c>
      <c r="G19" s="7" t="s">
        <v>10</v>
      </c>
    </row>
    <row r="20" spans="1:7" ht="32.1">
      <c r="A20" s="7" t="s">
        <v>891</v>
      </c>
      <c r="B20" s="8" t="s">
        <v>892</v>
      </c>
      <c r="C20" s="159" t="str">
        <f>IF(OR(C14="Heavy",C13="Rail"),"129","245")</f>
        <v>129</v>
      </c>
      <c r="D20" s="7" t="str">
        <f>IF(C3="Yes","NA",IF(OR(C12="Option B: Using conservative default values",C13="Rail"),"Yes","NA"))</f>
        <v>NA</v>
      </c>
      <c r="E20" s="7" t="s">
        <v>893</v>
      </c>
      <c r="G20" s="7" t="s">
        <v>10</v>
      </c>
    </row>
    <row r="21" spans="1:7" ht="32.1">
      <c r="A21" s="7" t="s">
        <v>884</v>
      </c>
      <c r="B21" s="8" t="s">
        <v>894</v>
      </c>
      <c r="C21" s="159">
        <f>C19*C11*C20*(10^-6)</f>
        <v>2.58E-2</v>
      </c>
      <c r="D21" s="7" t="str">
        <f>IF(C3="Yes","NA",IF(OR(C12="Option B: Using conservative default values",C13="Rail"),"Yes","NA"))</f>
        <v>NA</v>
      </c>
      <c r="E21" s="7" t="s">
        <v>893</v>
      </c>
      <c r="G21" s="7" t="s">
        <v>10</v>
      </c>
    </row>
    <row r="24" spans="1:7">
      <c r="C24" s="160"/>
    </row>
  </sheetData>
  <mergeCells count="1">
    <mergeCell ref="B6:D6"/>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A0B31F-9ED4-0E41-A581-283CA5098B56}">
  <dimension ref="A1:I17"/>
  <sheetViews>
    <sheetView workbookViewId="0">
      <selection activeCell="E35" sqref="E35"/>
    </sheetView>
  </sheetViews>
  <sheetFormatPr defaultColWidth="8.875" defaultRowHeight="15"/>
  <cols>
    <col min="1" max="1" width="10.375" style="9" customWidth="1"/>
    <col min="2" max="2" width="16.625" style="7" customWidth="1"/>
    <col min="3" max="3" width="10.375" style="7" customWidth="1"/>
    <col min="4" max="4" width="8.375" style="7" customWidth="1"/>
    <col min="5" max="5" width="11.5" style="7" customWidth="1"/>
    <col min="6" max="6" width="17.625" style="7" customWidth="1"/>
    <col min="7" max="7" width="20.375" style="7" customWidth="1"/>
    <col min="8" max="8" width="12.625" style="7" customWidth="1"/>
    <col min="9" max="16384" width="8.875" style="7"/>
  </cols>
  <sheetData>
    <row r="1" spans="1:9" s="1" customFormat="1" ht="20.100000000000001" thickBot="1">
      <c r="A1" s="238" t="s">
        <v>895</v>
      </c>
      <c r="B1" s="248"/>
      <c r="C1" s="248"/>
      <c r="D1" s="248"/>
      <c r="E1" s="248"/>
      <c r="F1" s="248"/>
      <c r="G1" s="248"/>
      <c r="H1" s="248"/>
      <c r="I1" s="239"/>
    </row>
    <row r="2" spans="1:9" s="136" customFormat="1">
      <c r="A2" s="161" t="s">
        <v>896</v>
      </c>
      <c r="B2" s="136" t="s">
        <v>897</v>
      </c>
      <c r="C2" s="136" t="s">
        <v>898</v>
      </c>
      <c r="D2" s="136" t="s">
        <v>899</v>
      </c>
      <c r="E2" s="136" t="s">
        <v>900</v>
      </c>
      <c r="F2" s="136" t="s">
        <v>901</v>
      </c>
      <c r="G2" s="136" t="s">
        <v>902</v>
      </c>
      <c r="H2" s="136" t="s">
        <v>903</v>
      </c>
      <c r="I2" s="162" t="s">
        <v>904</v>
      </c>
    </row>
    <row r="3" spans="1:9">
      <c r="A3" s="163" t="str">
        <f>IF('[6]Tool 12 - Freight Trains'!C4="Project emissions (PEtr,m)",'[6]Tool 12 - Freight Trains'!C5)</f>
        <v>Activity 1</v>
      </c>
      <c r="B3" s="10" t="str">
        <f>IF('[6]Tool 12 - Freight Trains'!C4="Project emissions (PEtr,m)",'[6]Tool 12 - Freight Trains'!C9)</f>
        <v>Sugar cane bagasse</v>
      </c>
      <c r="C3" s="10">
        <f>IF('[6]Tool 12 - Freight Trains'!C4="Project emissions (PEtr,m)",'[6]Tool 12 - Freight Trains'!C11)</f>
        <v>2</v>
      </c>
      <c r="D3" s="10" t="str">
        <f>IF('[6]Tool 12 - Freight Trains'!C4="Project emissions (PEtr,m)",'[6]Tool 12 - Freight Trains'!C7)</f>
        <v>Source 1</v>
      </c>
      <c r="E3" s="10" t="str">
        <f>IF('[6]Tool 12 - Freight Trains'!C4="Project emissions (PEtr,m)",'[6]Tool 12 - Freight Trains'!C8)</f>
        <v>Facility 1</v>
      </c>
      <c r="F3" s="10" t="b">
        <f>IF(AND('[6]Tool 12 - Freight Trains'!C4="Project emissions (PEtr,m)",'[6]Tool 12 - Freight Trains'!C12="Option B: Using conservative default values"),'[6]Tool 12 - Freight Trains'!C19)</f>
        <v>0</v>
      </c>
      <c r="G3" s="10" t="str">
        <f>IF('[6]Tool 12 - Freight Trains'!C4="Project emissions (PEtr,m)",'[6]Tool 12 - Freight Trains'!C13)</f>
        <v>Road Vehicle</v>
      </c>
      <c r="H3" s="10" t="str">
        <f>IF('[6]Tool 12 - Freight Trains'!C4="Project emissions (PEtr,m)",'[6]Tool 12 - Freight Trains'!C14)</f>
        <v>Heavy</v>
      </c>
      <c r="I3" s="164" t="str">
        <f>IF(AND('[6]Tool 12 - Freight Trains'!C4="Project emissions (PEtr,m)",'[6]Tool 12 - Freight Trains'!C12="Option B: Using conservative default values"),'[6]Tool 12 - Freight Trains'!C21,IF(AND('[6]Tool 12 - Freight Trains'!C4="Project emissions (PEtr,m)",'[6]Tool 12 - Freight Trains'!C12="Option A: Monitoring fuel consumption"),'[6]Tool 12 - Freight Trains'!C17))</f>
        <v>[Tool  03] Parameter = PEFC,j,y</v>
      </c>
    </row>
    <row r="4" spans="1:9">
      <c r="A4" s="165">
        <v>2</v>
      </c>
      <c r="I4" s="166"/>
    </row>
    <row r="5" spans="1:9">
      <c r="A5" s="165">
        <v>3</v>
      </c>
      <c r="I5" s="166"/>
    </row>
    <row r="6" spans="1:9" ht="15.95" thickBot="1">
      <c r="A6" s="165">
        <v>4</v>
      </c>
      <c r="I6" s="166"/>
    </row>
    <row r="7" spans="1:9" s="136" customFormat="1" ht="15.95" thickBot="1">
      <c r="A7" s="167" t="s">
        <v>826</v>
      </c>
      <c r="B7" s="168"/>
      <c r="C7" s="168"/>
      <c r="D7" s="168"/>
      <c r="E7" s="168"/>
      <c r="F7" s="168"/>
      <c r="G7" s="168"/>
      <c r="H7" s="168"/>
      <c r="I7" s="169">
        <f>SUM(I3:I6)</f>
        <v>0</v>
      </c>
    </row>
    <row r="10" spans="1:9" ht="15.95" thickBot="1"/>
    <row r="11" spans="1:9" ht="20.100000000000001" thickBot="1">
      <c r="A11" s="238" t="s">
        <v>905</v>
      </c>
      <c r="B11" s="248"/>
      <c r="C11" s="248"/>
      <c r="D11" s="248"/>
      <c r="E11" s="248"/>
      <c r="F11" s="248"/>
      <c r="G11" s="248"/>
      <c r="H11" s="248"/>
      <c r="I11" s="239"/>
    </row>
    <row r="12" spans="1:9">
      <c r="A12" s="161" t="s">
        <v>896</v>
      </c>
      <c r="B12" s="136" t="s">
        <v>897</v>
      </c>
      <c r="C12" s="136" t="s">
        <v>898</v>
      </c>
      <c r="D12" s="136" t="s">
        <v>899</v>
      </c>
      <c r="E12" s="136" t="s">
        <v>900</v>
      </c>
      <c r="F12" s="136" t="s">
        <v>901</v>
      </c>
      <c r="G12" s="136" t="s">
        <v>902</v>
      </c>
      <c r="H12" s="136" t="s">
        <v>903</v>
      </c>
      <c r="I12" s="162" t="s">
        <v>904</v>
      </c>
    </row>
    <row r="13" spans="1:9">
      <c r="A13" s="165">
        <v>1</v>
      </c>
      <c r="B13" s="10" t="b">
        <f>IF('[6]Tool 12 - Freight Trains'!C4="Leakage emissions (LEtr,m)",'[6]Tool 12 - Freight Trains'!C9)</f>
        <v>0</v>
      </c>
      <c r="C13" s="10" t="b">
        <f>IF('[6]Tool 12 - Freight Trains'!C4="Leakage emissions (LEtr,m)",'[6]Tool 12 - Freight Trains'!C11)</f>
        <v>0</v>
      </c>
      <c r="D13" s="10" t="b">
        <f>IF('[6]Tool 12 - Freight Trains'!C4="Leakage emissions (LEtr,m)",'[6]Tool 12 - Freight Trains'!C7)</f>
        <v>0</v>
      </c>
      <c r="E13" s="10" t="b">
        <f>IF('[6]Tool 12 - Freight Trains'!C4="Leakage emissions (LEtr,m)",'[6]Tool 12 - Freight Trains'!C8)</f>
        <v>0</v>
      </c>
      <c r="F13" s="10" t="b">
        <f>IF(AND('[6]Tool 12 - Freight Trains'!C4="Leakage emissions (LEtr,m)",'[6]Tool 12 - Freight Trains'!C12="Option B: Using conservative default values"),'[6]Tool 12 - Freight Trains'!C19)</f>
        <v>0</v>
      </c>
      <c r="G13" s="10" t="b">
        <f>IF('[6]Tool 12 - Freight Trains'!C4="Leakage emissions (LEtr,m)",'[6]Tool 12 - Freight Trains'!C13)</f>
        <v>0</v>
      </c>
      <c r="H13" s="10" t="b">
        <f>IF('[6]Tool 12 - Freight Trains'!C4="Leakage emissions (LEtr,m)",'[6]Tool 12 - Freight Trains'!C14)</f>
        <v>0</v>
      </c>
      <c r="I13" s="164" t="b">
        <f>IF(AND('[6]Tool 12 - Freight Trains'!C4="Leakage emissions (LEtr,m)",'[6]Tool 12 - Freight Trains'!C12="Option B: Using conservative default values"),'[6]Tool 12 - Freight Trains'!C21,IF(AND('[6]Tool 12 - Freight Trains'!C4="Leakage emissions (LEtr,m)",'[6]Tool 12 - Freight Trains'!C12="Option A: Monitoring fuel consumption"),'[6]Tool 12 - Freight Trains'!C17))</f>
        <v>0</v>
      </c>
    </row>
    <row r="14" spans="1:9">
      <c r="A14" s="165">
        <v>2</v>
      </c>
      <c r="I14" s="166"/>
    </row>
    <row r="15" spans="1:9">
      <c r="A15" s="165">
        <v>3</v>
      </c>
      <c r="I15" s="166"/>
    </row>
    <row r="16" spans="1:9">
      <c r="A16" s="165">
        <v>4</v>
      </c>
      <c r="I16" s="166"/>
    </row>
    <row r="17" spans="1:9" ht="15.95" thickBot="1">
      <c r="A17" s="170" t="s">
        <v>826</v>
      </c>
      <c r="B17" s="171"/>
      <c r="C17" s="171"/>
      <c r="D17" s="171"/>
      <c r="E17" s="171"/>
      <c r="F17" s="171"/>
      <c r="G17" s="171"/>
      <c r="H17" s="171"/>
      <c r="I17" s="172">
        <f>SUM(I13:I16)</f>
        <v>0</v>
      </c>
    </row>
  </sheetData>
  <mergeCells count="2">
    <mergeCell ref="A1:I1"/>
    <mergeCell ref="A11:I11"/>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4967F-4FC5-AB4B-BF80-8A17A9BA37D1}">
  <dimension ref="A1:E3"/>
  <sheetViews>
    <sheetView workbookViewId="0">
      <selection activeCell="M33" sqref="M33"/>
    </sheetView>
  </sheetViews>
  <sheetFormatPr defaultColWidth="8.875" defaultRowHeight="15"/>
  <cols>
    <col min="1" max="1" width="38.375" style="7" customWidth="1"/>
    <col min="2" max="2" width="13.875" style="7" customWidth="1"/>
    <col min="3" max="3" width="23.125" style="7" customWidth="1"/>
    <col min="4" max="4" width="18.125" style="7" customWidth="1"/>
    <col min="5" max="16384" width="8.875" style="7"/>
  </cols>
  <sheetData>
    <row r="1" spans="1:5" s="136" customFormat="1">
      <c r="A1" s="136" t="s">
        <v>906</v>
      </c>
      <c r="B1" s="136" t="s">
        <v>638</v>
      </c>
      <c r="C1" s="136" t="s">
        <v>907</v>
      </c>
      <c r="D1" s="136" t="s">
        <v>903</v>
      </c>
      <c r="E1" s="136" t="s">
        <v>636</v>
      </c>
    </row>
    <row r="2" spans="1:5">
      <c r="A2" s="7" t="s">
        <v>877</v>
      </c>
      <c r="B2" s="7" t="s">
        <v>9</v>
      </c>
      <c r="C2" s="7" t="s">
        <v>908</v>
      </c>
      <c r="D2" s="7" t="s">
        <v>909</v>
      </c>
      <c r="E2" s="7" t="s">
        <v>860</v>
      </c>
    </row>
    <row r="3" spans="1:5">
      <c r="A3" s="7" t="s">
        <v>887</v>
      </c>
      <c r="B3" s="7" t="s">
        <v>391</v>
      </c>
      <c r="C3" s="7" t="s">
        <v>879</v>
      </c>
      <c r="D3" s="7" t="s">
        <v>881</v>
      </c>
      <c r="E3" s="7" t="s">
        <v>910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DA921-B6C0-174D-A562-426306C8B524}">
  <dimension ref="A1:H21"/>
  <sheetViews>
    <sheetView topLeftCell="F1" workbookViewId="0">
      <selection activeCell="G21" sqref="G21"/>
    </sheetView>
  </sheetViews>
  <sheetFormatPr defaultColWidth="8.875" defaultRowHeight="15.95"/>
  <cols>
    <col min="1" max="1" width="11.625" bestFit="1" customWidth="1"/>
    <col min="2" max="2" width="13.625" customWidth="1"/>
    <col min="3" max="3" width="11.125" bestFit="1" customWidth="1"/>
    <col min="4" max="4" width="15.625" bestFit="1" customWidth="1"/>
    <col min="5" max="5" width="28.625" bestFit="1" customWidth="1"/>
    <col min="6" max="6" width="69.125" customWidth="1"/>
    <col min="7" max="7" width="75.125" customWidth="1"/>
    <col min="8" max="8" width="67" customWidth="1"/>
  </cols>
  <sheetData>
    <row r="1" spans="1:8" ht="39.950000000000003">
      <c r="A1" s="91" t="s">
        <v>0</v>
      </c>
      <c r="B1" s="91" t="s">
        <v>163</v>
      </c>
      <c r="C1" s="92" t="s">
        <v>164</v>
      </c>
      <c r="D1" s="91" t="s">
        <v>3</v>
      </c>
      <c r="E1" s="91" t="s">
        <v>5</v>
      </c>
      <c r="F1" s="93" t="s">
        <v>6</v>
      </c>
      <c r="G1" s="93" t="s">
        <v>7</v>
      </c>
      <c r="H1" s="94" t="s">
        <v>165</v>
      </c>
    </row>
    <row r="2" spans="1:8" ht="58.5" customHeight="1">
      <c r="A2" s="234" t="s">
        <v>166</v>
      </c>
      <c r="B2" s="234"/>
      <c r="C2" s="234"/>
      <c r="D2" s="234"/>
      <c r="E2" s="234"/>
      <c r="F2" s="234"/>
      <c r="G2" s="234"/>
      <c r="H2" s="234"/>
    </row>
    <row r="3" spans="1:8" s="72" customFormat="1" ht="33.950000000000003">
      <c r="A3" s="66" t="s">
        <v>9</v>
      </c>
      <c r="B3" s="66"/>
      <c r="C3" s="67" t="s">
        <v>167</v>
      </c>
      <c r="D3" s="66" t="s">
        <v>88</v>
      </c>
      <c r="E3" s="68" t="s">
        <v>168</v>
      </c>
      <c r="F3" s="69" t="s">
        <v>169</v>
      </c>
      <c r="G3" s="70">
        <f>G4+G5</f>
        <v>1125</v>
      </c>
      <c r="H3" s="71"/>
    </row>
    <row r="4" spans="1:8" s="72" customFormat="1" ht="33.950000000000003">
      <c r="A4" s="66" t="s">
        <v>9</v>
      </c>
      <c r="B4" s="66"/>
      <c r="C4" s="67" t="s">
        <v>167</v>
      </c>
      <c r="D4" s="66" t="s">
        <v>88</v>
      </c>
      <c r="E4" s="68" t="s">
        <v>170</v>
      </c>
      <c r="F4" s="69" t="s">
        <v>171</v>
      </c>
      <c r="G4" s="70">
        <f>(G8+G9*G10)*G11</f>
        <v>1100</v>
      </c>
      <c r="H4" s="73"/>
    </row>
    <row r="5" spans="1:8" s="72" customFormat="1" ht="33.950000000000003">
      <c r="A5" s="66" t="s">
        <v>9</v>
      </c>
      <c r="B5" s="66"/>
      <c r="C5" s="67" t="s">
        <v>167</v>
      </c>
      <c r="D5" s="66" t="s">
        <v>88</v>
      </c>
      <c r="E5" s="68" t="s">
        <v>172</v>
      </c>
      <c r="F5" s="69" t="s">
        <v>173</v>
      </c>
      <c r="G5" s="70">
        <f>G14+G15</f>
        <v>25</v>
      </c>
      <c r="H5" s="73"/>
    </row>
    <row r="6" spans="1:8" ht="58.5" customHeight="1">
      <c r="A6" s="234" t="s">
        <v>174</v>
      </c>
      <c r="B6" s="234"/>
      <c r="C6" s="234"/>
      <c r="D6" s="234"/>
      <c r="E6" s="234"/>
      <c r="F6" s="234"/>
      <c r="G6" s="234"/>
      <c r="H6" s="234"/>
    </row>
    <row r="7" spans="1:8" s="72" customFormat="1" ht="33.950000000000003">
      <c r="A7" s="74" t="s">
        <v>9</v>
      </c>
      <c r="B7" s="74"/>
      <c r="C7" s="67" t="s">
        <v>167</v>
      </c>
      <c r="D7" s="66" t="s">
        <v>88</v>
      </c>
      <c r="E7" s="68" t="s">
        <v>170</v>
      </c>
      <c r="F7" s="69" t="s">
        <v>171</v>
      </c>
      <c r="G7" s="70">
        <f>(G8+G9*G10)*G11</f>
        <v>1100</v>
      </c>
      <c r="H7" s="73"/>
    </row>
    <row r="8" spans="1:8" s="72" customFormat="1" ht="26.1">
      <c r="A8" s="75" t="s">
        <v>9</v>
      </c>
      <c r="B8" s="75"/>
      <c r="C8" s="76" t="s">
        <v>175</v>
      </c>
      <c r="D8" s="75" t="s">
        <v>176</v>
      </c>
      <c r="E8" s="77" t="s">
        <v>177</v>
      </c>
      <c r="F8" s="78" t="s">
        <v>178</v>
      </c>
      <c r="G8" s="79">
        <v>10</v>
      </c>
    </row>
    <row r="9" spans="1:8" s="72" customFormat="1" ht="26.1">
      <c r="A9" s="75" t="s">
        <v>9</v>
      </c>
      <c r="B9" s="75"/>
      <c r="C9" s="76" t="s">
        <v>175</v>
      </c>
      <c r="D9" s="75" t="s">
        <v>176</v>
      </c>
      <c r="E9" s="77" t="s">
        <v>179</v>
      </c>
      <c r="F9" s="78" t="s">
        <v>180</v>
      </c>
      <c r="G9" s="80">
        <v>10</v>
      </c>
    </row>
    <row r="10" spans="1:8" s="72" customFormat="1" ht="33.950000000000003">
      <c r="A10" s="75" t="s">
        <v>9</v>
      </c>
      <c r="B10" s="75"/>
      <c r="C10" s="76" t="s">
        <v>175</v>
      </c>
      <c r="D10" s="75" t="s">
        <v>176</v>
      </c>
      <c r="E10" s="77" t="s">
        <v>181</v>
      </c>
      <c r="F10" s="78" t="s">
        <v>182</v>
      </c>
      <c r="G10" s="80">
        <v>10</v>
      </c>
      <c r="H10" s="72" t="s">
        <v>183</v>
      </c>
    </row>
    <row r="11" spans="1:8" s="72" customFormat="1" ht="26.1">
      <c r="A11" s="75" t="s">
        <v>9</v>
      </c>
      <c r="B11" s="75"/>
      <c r="C11" s="76" t="s">
        <v>175</v>
      </c>
      <c r="D11" s="75" t="s">
        <v>176</v>
      </c>
      <c r="E11" s="77" t="s">
        <v>184</v>
      </c>
      <c r="F11" s="78" t="s">
        <v>185</v>
      </c>
      <c r="G11" s="80">
        <v>10</v>
      </c>
    </row>
    <row r="12" spans="1:8" ht="44.25" customHeight="1">
      <c r="A12" s="234" t="s">
        <v>186</v>
      </c>
      <c r="B12" s="234"/>
      <c r="C12" s="234"/>
      <c r="D12" s="234"/>
      <c r="E12" s="234"/>
      <c r="F12" s="234"/>
      <c r="G12" s="234"/>
      <c r="H12" s="234"/>
    </row>
    <row r="13" spans="1:8" s="72" customFormat="1" ht="33.950000000000003">
      <c r="A13" s="81" t="s">
        <v>9</v>
      </c>
      <c r="B13" s="81"/>
      <c r="C13" s="82" t="s">
        <v>167</v>
      </c>
      <c r="D13" s="83" t="s">
        <v>88</v>
      </c>
      <c r="E13" s="68" t="s">
        <v>172</v>
      </c>
      <c r="F13" s="69" t="s">
        <v>173</v>
      </c>
      <c r="G13" s="70">
        <f>G14+G15</f>
        <v>25</v>
      </c>
      <c r="H13" s="73"/>
    </row>
    <row r="14" spans="1:8" s="72" customFormat="1" ht="84.95">
      <c r="A14" s="81" t="s">
        <v>9</v>
      </c>
      <c r="B14" s="81"/>
      <c r="C14" s="82" t="s">
        <v>167</v>
      </c>
      <c r="D14" s="83" t="s">
        <v>88</v>
      </c>
      <c r="E14" s="68" t="s">
        <v>187</v>
      </c>
      <c r="F14" s="69" t="s">
        <v>188</v>
      </c>
      <c r="G14" s="84">
        <f>(G16-G17)*(G8+G9*G10)</f>
        <v>0</v>
      </c>
      <c r="H14" s="73"/>
    </row>
    <row r="15" spans="1:8" s="72" customFormat="1" ht="51">
      <c r="A15" s="81" t="s">
        <v>9</v>
      </c>
      <c r="B15" s="81"/>
      <c r="C15" s="82" t="s">
        <v>167</v>
      </c>
      <c r="D15" s="83" t="s">
        <v>88</v>
      </c>
      <c r="E15" s="68" t="s">
        <v>189</v>
      </c>
      <c r="F15" s="69" t="s">
        <v>190</v>
      </c>
      <c r="G15" s="84">
        <f>G18*G19</f>
        <v>25</v>
      </c>
      <c r="H15" s="73"/>
    </row>
    <row r="16" spans="1:8" s="72" customFormat="1" ht="26.1">
      <c r="A16" s="85" t="s">
        <v>9</v>
      </c>
      <c r="B16" s="85"/>
      <c r="C16" s="86" t="s">
        <v>175</v>
      </c>
      <c r="D16" s="85" t="s">
        <v>176</v>
      </c>
      <c r="E16" s="77" t="s">
        <v>191</v>
      </c>
      <c r="F16" s="78" t="s">
        <v>192</v>
      </c>
      <c r="G16" s="80">
        <v>10</v>
      </c>
      <c r="H16" s="87"/>
    </row>
    <row r="17" spans="1:8" s="72" customFormat="1" ht="26.1">
      <c r="A17" s="85" t="s">
        <v>9</v>
      </c>
      <c r="B17" s="85"/>
      <c r="C17" s="86" t="s">
        <v>175</v>
      </c>
      <c r="D17" s="85" t="s">
        <v>176</v>
      </c>
      <c r="E17" s="77" t="s">
        <v>193</v>
      </c>
      <c r="F17" s="78" t="s">
        <v>194</v>
      </c>
      <c r="G17" s="80">
        <v>10</v>
      </c>
      <c r="H17" s="87"/>
    </row>
    <row r="18" spans="1:8" s="72" customFormat="1" ht="26.1">
      <c r="A18" s="85" t="s">
        <v>9</v>
      </c>
      <c r="B18" s="85"/>
      <c r="C18" s="86" t="s">
        <v>175</v>
      </c>
      <c r="D18" s="85" t="s">
        <v>176</v>
      </c>
      <c r="E18" s="77" t="s">
        <v>195</v>
      </c>
      <c r="F18" s="78" t="s">
        <v>196</v>
      </c>
      <c r="G18" s="80">
        <v>5</v>
      </c>
      <c r="H18" s="87"/>
    </row>
    <row r="19" spans="1:8" s="72" customFormat="1" ht="33.950000000000003">
      <c r="A19" s="85" t="s">
        <v>9</v>
      </c>
      <c r="B19" s="85"/>
      <c r="C19" s="86" t="s">
        <v>9</v>
      </c>
      <c r="D19" s="85" t="s">
        <v>176</v>
      </c>
      <c r="E19" s="77" t="s">
        <v>197</v>
      </c>
      <c r="F19" s="78" t="s">
        <v>198</v>
      </c>
      <c r="G19" s="80">
        <v>5</v>
      </c>
      <c r="H19" s="87"/>
    </row>
    <row r="20" spans="1:8" ht="51" customHeight="1">
      <c r="A20" s="234" t="s">
        <v>199</v>
      </c>
      <c r="B20" s="234"/>
      <c r="C20" s="234"/>
      <c r="D20" s="234"/>
      <c r="E20" s="234"/>
      <c r="F20" s="234"/>
      <c r="G20" s="234"/>
      <c r="H20" s="234"/>
    </row>
    <row r="21" spans="1:8" s="72" customFormat="1" ht="33.950000000000003">
      <c r="A21" s="66" t="s">
        <v>10</v>
      </c>
      <c r="B21" s="66"/>
      <c r="C21" s="67" t="s">
        <v>167</v>
      </c>
      <c r="D21" s="66" t="s">
        <v>88</v>
      </c>
      <c r="E21" s="68" t="s">
        <v>200</v>
      </c>
      <c r="F21" s="88" t="s">
        <v>201</v>
      </c>
      <c r="G21" s="89">
        <f>'Power Density Integrated'!G6</f>
        <v>500</v>
      </c>
      <c r="H21" s="90"/>
    </row>
  </sheetData>
  <mergeCells count="4">
    <mergeCell ref="A2:H2"/>
    <mergeCell ref="A6:H6"/>
    <mergeCell ref="A12:H12"/>
    <mergeCell ref="A20:H20"/>
  </mergeCells>
  <pageMargins left="0.7" right="0.7" top="0.75" bottom="0.75" header="0.3" footer="0.3"/>
  <legacyDrawing r:id="rId1"/>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53B66-CC20-C64F-8317-66E95AA7EA00}">
  <dimension ref="A1:I65"/>
  <sheetViews>
    <sheetView topLeftCell="A11" workbookViewId="0">
      <selection activeCell="G3" sqref="G3"/>
    </sheetView>
  </sheetViews>
  <sheetFormatPr defaultColWidth="8.875" defaultRowHeight="15"/>
  <cols>
    <col min="1" max="1" width="13.125" style="7" customWidth="1"/>
    <col min="2" max="2" width="13.625" style="7" customWidth="1"/>
    <col min="3" max="3" width="12.125" style="7" customWidth="1"/>
    <col min="4" max="4" width="15.375" style="7" customWidth="1"/>
    <col min="5" max="5" width="17.875" style="7" bestFit="1" customWidth="1"/>
    <col min="6" max="6" width="69.875" style="7" customWidth="1"/>
    <col min="7" max="7" width="45.625" style="7" customWidth="1"/>
    <col min="8" max="8" width="46" style="7" customWidth="1"/>
    <col min="9" max="16384" width="8.875" style="7"/>
  </cols>
  <sheetData>
    <row r="1" spans="1:9" ht="39.950000000000003">
      <c r="A1" s="95" t="s">
        <v>0</v>
      </c>
      <c r="B1" s="95" t="s">
        <v>163</v>
      </c>
      <c r="C1" s="96" t="s">
        <v>164</v>
      </c>
      <c r="D1" s="96" t="s">
        <v>3</v>
      </c>
      <c r="E1" s="95" t="s">
        <v>5</v>
      </c>
      <c r="F1" s="53" t="s">
        <v>6</v>
      </c>
      <c r="G1" s="53" t="s">
        <v>7</v>
      </c>
      <c r="H1" s="96" t="s">
        <v>165</v>
      </c>
      <c r="I1" s="113"/>
    </row>
    <row r="2" spans="1:9" ht="21">
      <c r="A2" s="235" t="s">
        <v>911</v>
      </c>
      <c r="B2" s="235"/>
      <c r="C2" s="235"/>
      <c r="D2" s="235"/>
      <c r="E2" s="235"/>
      <c r="F2" s="235"/>
      <c r="G2" s="235"/>
      <c r="H2" s="235"/>
      <c r="I2" s="113"/>
    </row>
    <row r="3" spans="1:9" ht="18.95">
      <c r="A3" s="173" t="s">
        <v>10</v>
      </c>
      <c r="B3" s="174"/>
      <c r="C3" s="175" t="s">
        <v>10</v>
      </c>
      <c r="D3" s="175" t="s">
        <v>88</v>
      </c>
      <c r="E3" s="173" t="s">
        <v>912</v>
      </c>
      <c r="F3" s="10" t="s">
        <v>913</v>
      </c>
      <c r="G3" s="176" t="e">
        <f>G16+(IF(AND(G18="Option 1"),G20,IF(AND(G18="Option 2"),G22)))+G27+G43+G49</f>
        <v>#REF!</v>
      </c>
      <c r="H3" s="177"/>
      <c r="I3" s="113"/>
    </row>
    <row r="4" spans="1:9" ht="21">
      <c r="A4" s="235" t="s">
        <v>914</v>
      </c>
      <c r="B4" s="235"/>
      <c r="C4" s="235"/>
      <c r="D4" s="235"/>
      <c r="E4" s="235"/>
      <c r="F4" s="235"/>
      <c r="G4" s="235"/>
      <c r="H4" s="235"/>
      <c r="I4" s="56"/>
    </row>
    <row r="5" spans="1:9" ht="63.95">
      <c r="A5" s="7" t="s">
        <v>9</v>
      </c>
      <c r="C5" s="7" t="s">
        <v>9</v>
      </c>
      <c r="D5" s="7" t="s">
        <v>220</v>
      </c>
      <c r="E5" s="7" t="s">
        <v>6</v>
      </c>
      <c r="F5" s="8" t="s">
        <v>915</v>
      </c>
      <c r="G5" s="7" t="s">
        <v>82</v>
      </c>
    </row>
    <row r="6" spans="1:9" ht="21">
      <c r="A6" s="235" t="s">
        <v>916</v>
      </c>
      <c r="B6" s="235"/>
      <c r="C6" s="235"/>
      <c r="D6" s="235"/>
      <c r="E6" s="235"/>
      <c r="F6" s="235"/>
      <c r="G6" s="235"/>
      <c r="H6" s="235"/>
      <c r="I6" s="56"/>
    </row>
    <row r="7" spans="1:9">
      <c r="A7" s="7" t="s">
        <v>9</v>
      </c>
      <c r="C7" s="7" t="s">
        <v>9</v>
      </c>
      <c r="D7" s="7" t="s">
        <v>176</v>
      </c>
      <c r="E7" s="7" t="s">
        <v>917</v>
      </c>
      <c r="F7" s="7" t="s">
        <v>918</v>
      </c>
      <c r="G7" s="7">
        <v>1</v>
      </c>
    </row>
    <row r="8" spans="1:9" ht="21">
      <c r="A8" s="235" t="s">
        <v>919</v>
      </c>
      <c r="B8" s="235"/>
      <c r="C8" s="235"/>
      <c r="D8" s="235"/>
      <c r="E8" s="235"/>
      <c r="F8" s="235"/>
      <c r="G8" s="235"/>
      <c r="H8" s="235"/>
      <c r="I8" s="56"/>
    </row>
    <row r="9" spans="1:9" ht="15.95">
      <c r="A9" s="173" t="s">
        <v>10</v>
      </c>
      <c r="B9" s="10"/>
      <c r="C9" s="10" t="s">
        <v>10</v>
      </c>
      <c r="D9" s="175" t="s">
        <v>88</v>
      </c>
      <c r="E9" s="10" t="s">
        <v>917</v>
      </c>
      <c r="F9" s="10" t="s">
        <v>918</v>
      </c>
      <c r="G9" s="10">
        <f>SUM(G11,G13)</f>
        <v>2</v>
      </c>
      <c r="H9" s="10"/>
    </row>
    <row r="10" spans="1:9" ht="29.25" customHeight="1">
      <c r="A10" s="249" t="s">
        <v>920</v>
      </c>
      <c r="B10" s="249"/>
      <c r="C10" s="249"/>
      <c r="D10" s="249"/>
      <c r="E10" s="249"/>
      <c r="F10" s="249"/>
      <c r="G10" s="249"/>
      <c r="H10" s="249"/>
      <c r="I10" s="56"/>
    </row>
    <row r="11" spans="1:9" ht="29.25" customHeight="1">
      <c r="A11" s="7" t="s">
        <v>9</v>
      </c>
      <c r="C11" s="7" t="s">
        <v>9</v>
      </c>
      <c r="D11" s="7" t="s">
        <v>176</v>
      </c>
      <c r="E11" s="7" t="s">
        <v>921</v>
      </c>
      <c r="F11" s="8" t="s">
        <v>922</v>
      </c>
      <c r="G11" s="7">
        <v>1</v>
      </c>
    </row>
    <row r="12" spans="1:9" ht="29.25" customHeight="1">
      <c r="A12" s="249" t="s">
        <v>920</v>
      </c>
      <c r="B12" s="249"/>
      <c r="C12" s="249"/>
      <c r="D12" s="249"/>
      <c r="E12" s="249"/>
      <c r="F12" s="249"/>
      <c r="G12" s="249"/>
      <c r="H12" s="249"/>
      <c r="I12" s="56"/>
    </row>
    <row r="13" spans="1:9" ht="29.25" customHeight="1">
      <c r="A13" s="7" t="s">
        <v>9</v>
      </c>
      <c r="C13" s="7" t="s">
        <v>9</v>
      </c>
      <c r="D13" s="7" t="s">
        <v>176</v>
      </c>
      <c r="E13" s="7" t="s">
        <v>921</v>
      </c>
      <c r="F13" s="8" t="s">
        <v>922</v>
      </c>
      <c r="G13" s="7">
        <v>1</v>
      </c>
    </row>
    <row r="14" spans="1:9" ht="21">
      <c r="A14" s="235" t="s">
        <v>923</v>
      </c>
      <c r="B14" s="235"/>
      <c r="C14" s="235"/>
      <c r="D14" s="235"/>
      <c r="E14" s="235"/>
      <c r="F14" s="235"/>
      <c r="G14" s="235"/>
      <c r="H14" s="235"/>
    </row>
    <row r="15" spans="1:9" ht="80.099999999999994">
      <c r="A15" s="7" t="s">
        <v>9</v>
      </c>
      <c r="C15" s="7" t="s">
        <v>9</v>
      </c>
      <c r="D15" s="7" t="s">
        <v>220</v>
      </c>
      <c r="E15" s="7" t="s">
        <v>6</v>
      </c>
      <c r="F15" s="8" t="s">
        <v>924</v>
      </c>
      <c r="G15" s="7" t="s">
        <v>9</v>
      </c>
    </row>
    <row r="16" spans="1:9" ht="32.1">
      <c r="A16" s="173" t="s">
        <v>10</v>
      </c>
      <c r="B16" s="10"/>
      <c r="C16" s="10" t="s">
        <v>10</v>
      </c>
      <c r="D16" s="175" t="s">
        <v>88</v>
      </c>
      <c r="E16" s="10" t="s">
        <v>925</v>
      </c>
      <c r="F16" s="12" t="s">
        <v>926</v>
      </c>
      <c r="G16" s="10" t="e">
        <f>'[7]Tool 05.1'!G6</f>
        <v>#REF!</v>
      </c>
      <c r="H16" s="10"/>
    </row>
    <row r="17" spans="1:8" ht="21">
      <c r="A17" s="235" t="s">
        <v>927</v>
      </c>
      <c r="B17" s="235"/>
      <c r="C17" s="235"/>
      <c r="D17" s="235"/>
      <c r="E17" s="235"/>
      <c r="F17" s="235"/>
      <c r="G17" s="235"/>
      <c r="H17" s="235"/>
    </row>
    <row r="18" spans="1:8" ht="63.95">
      <c r="A18" s="7" t="s">
        <v>9</v>
      </c>
      <c r="C18" s="7" t="s">
        <v>9</v>
      </c>
      <c r="D18" s="7" t="s">
        <v>220</v>
      </c>
      <c r="E18" s="7" t="s">
        <v>6</v>
      </c>
      <c r="F18" s="8" t="s">
        <v>928</v>
      </c>
      <c r="G18" s="7" t="s">
        <v>82</v>
      </c>
    </row>
    <row r="19" spans="1:8" ht="21">
      <c r="A19" s="235" t="s">
        <v>929</v>
      </c>
      <c r="B19" s="235"/>
      <c r="C19" s="235"/>
      <c r="D19" s="235"/>
      <c r="E19" s="235"/>
      <c r="F19" s="235"/>
      <c r="G19" s="235"/>
      <c r="H19" s="235"/>
    </row>
    <row r="20" spans="1:8" ht="32.1">
      <c r="A20" s="173" t="s">
        <v>10</v>
      </c>
      <c r="B20" s="10"/>
      <c r="C20" s="10" t="s">
        <v>10</v>
      </c>
      <c r="D20" s="175" t="s">
        <v>88</v>
      </c>
      <c r="E20" s="10" t="s">
        <v>930</v>
      </c>
      <c r="F20" s="12" t="s">
        <v>931</v>
      </c>
      <c r="G20" s="10" t="e">
        <f>'[7](Revised) Tool 03'!G3</f>
        <v>#REF!</v>
      </c>
      <c r="H20" s="10"/>
    </row>
    <row r="21" spans="1:8" ht="21">
      <c r="A21" s="235" t="s">
        <v>932</v>
      </c>
      <c r="B21" s="235"/>
      <c r="C21" s="235"/>
      <c r="D21" s="235"/>
      <c r="E21" s="235"/>
      <c r="F21" s="235"/>
      <c r="G21" s="235"/>
      <c r="H21" s="235"/>
    </row>
    <row r="22" spans="1:8" ht="32.1">
      <c r="A22" s="173" t="s">
        <v>10</v>
      </c>
      <c r="B22" s="10"/>
      <c r="C22" s="10" t="s">
        <v>10</v>
      </c>
      <c r="D22" s="175" t="s">
        <v>88</v>
      </c>
      <c r="E22" s="10" t="s">
        <v>930</v>
      </c>
      <c r="F22" s="12" t="s">
        <v>931</v>
      </c>
      <c r="G22" s="10">
        <f>G23*G24</f>
        <v>2.07E-2</v>
      </c>
      <c r="H22" s="10"/>
    </row>
    <row r="23" spans="1:8">
      <c r="A23" s="7" t="s">
        <v>9</v>
      </c>
      <c r="C23" s="7" t="s">
        <v>9</v>
      </c>
      <c r="D23" s="7" t="s">
        <v>176</v>
      </c>
      <c r="E23" s="7" t="s">
        <v>917</v>
      </c>
      <c r="F23" s="7" t="s">
        <v>933</v>
      </c>
      <c r="G23" s="7">
        <v>1</v>
      </c>
    </row>
    <row r="24" spans="1:8" ht="32.1">
      <c r="A24" s="173" t="s">
        <v>10</v>
      </c>
      <c r="B24" s="10"/>
      <c r="C24" s="10" t="s">
        <v>10</v>
      </c>
      <c r="D24" s="175" t="s">
        <v>88</v>
      </c>
      <c r="E24" s="10" t="s">
        <v>934</v>
      </c>
      <c r="F24" s="12" t="s">
        <v>935</v>
      </c>
      <c r="G24" s="10">
        <f>0.0207</f>
        <v>2.07E-2</v>
      </c>
      <c r="H24" s="10"/>
    </row>
    <row r="25" spans="1:8" ht="21">
      <c r="A25" s="235" t="s">
        <v>936</v>
      </c>
      <c r="B25" s="235"/>
      <c r="C25" s="235"/>
      <c r="D25" s="235"/>
      <c r="E25" s="235"/>
      <c r="F25" s="235"/>
      <c r="G25" s="235"/>
      <c r="H25" s="235"/>
    </row>
    <row r="26" spans="1:8" ht="48">
      <c r="A26" s="7" t="s">
        <v>9</v>
      </c>
      <c r="C26" s="7" t="s">
        <v>9</v>
      </c>
      <c r="D26" s="7" t="s">
        <v>220</v>
      </c>
      <c r="E26" s="7" t="s">
        <v>6</v>
      </c>
      <c r="F26" s="8" t="s">
        <v>937</v>
      </c>
      <c r="G26" s="42" t="s">
        <v>82</v>
      </c>
    </row>
    <row r="27" spans="1:8" ht="15.95">
      <c r="A27" s="173" t="s">
        <v>10</v>
      </c>
      <c r="B27" s="10"/>
      <c r="C27" s="10" t="s">
        <v>10</v>
      </c>
      <c r="D27" s="175" t="s">
        <v>88</v>
      </c>
      <c r="E27" s="10" t="s">
        <v>938</v>
      </c>
      <c r="F27" s="12" t="s">
        <v>939</v>
      </c>
      <c r="G27" s="178">
        <f>(IF(AND(G5="Option 1"),G7,IF(AND(G5="Option 2"),G9)))*G28*G55</f>
        <v>21</v>
      </c>
      <c r="H27" s="10"/>
    </row>
    <row r="28" spans="1:8" ht="15.95">
      <c r="A28" s="173" t="s">
        <v>10</v>
      </c>
      <c r="B28" s="10"/>
      <c r="C28" s="10" t="s">
        <v>10</v>
      </c>
      <c r="D28" s="175" t="s">
        <v>88</v>
      </c>
      <c r="E28" s="10" t="s">
        <v>940</v>
      </c>
      <c r="F28" s="12" t="s">
        <v>941</v>
      </c>
      <c r="G28" s="178">
        <f>IF(AND(G26="Option 1"),(SUM((G33/G35),(G38/G40))/G30),IF(AND(G26="Option 2"),0.002))</f>
        <v>1</v>
      </c>
      <c r="H28" s="10"/>
    </row>
    <row r="29" spans="1:8" ht="21">
      <c r="A29" s="235" t="s">
        <v>942</v>
      </c>
      <c r="B29" s="235"/>
      <c r="C29" s="235"/>
      <c r="D29" s="235"/>
      <c r="E29" s="235"/>
      <c r="F29" s="235"/>
      <c r="G29" s="235"/>
      <c r="H29" s="235"/>
    </row>
    <row r="30" spans="1:8" ht="32.1">
      <c r="A30" s="7" t="s">
        <v>9</v>
      </c>
      <c r="C30" s="7" t="s">
        <v>9</v>
      </c>
      <c r="D30" s="7" t="s">
        <v>176</v>
      </c>
      <c r="E30" s="7" t="s">
        <v>943</v>
      </c>
      <c r="F30" s="8" t="s">
        <v>944</v>
      </c>
      <c r="G30" s="7">
        <v>2</v>
      </c>
    </row>
    <row r="31" spans="1:8" ht="21">
      <c r="A31" s="249" t="s">
        <v>945</v>
      </c>
      <c r="B31" s="249"/>
      <c r="C31" s="249"/>
      <c r="D31" s="249"/>
      <c r="E31" s="249"/>
      <c r="F31" s="249"/>
      <c r="G31" s="249"/>
      <c r="H31" s="249"/>
    </row>
    <row r="32" spans="1:8">
      <c r="A32" s="7" t="s">
        <v>9</v>
      </c>
      <c r="C32" s="7" t="s">
        <v>9</v>
      </c>
      <c r="E32" s="7" t="s">
        <v>946</v>
      </c>
      <c r="F32" s="7" t="s">
        <v>947</v>
      </c>
      <c r="G32" s="42" t="s">
        <v>948</v>
      </c>
    </row>
    <row r="33" spans="1:8">
      <c r="A33" s="7" t="s">
        <v>9</v>
      </c>
      <c r="C33" s="7" t="s">
        <v>9</v>
      </c>
      <c r="D33" s="7" t="s">
        <v>176</v>
      </c>
      <c r="E33" s="7" t="s">
        <v>949</v>
      </c>
      <c r="F33" s="7" t="s">
        <v>950</v>
      </c>
      <c r="G33" s="7">
        <v>1</v>
      </c>
    </row>
    <row r="34" spans="1:8" ht="15.95">
      <c r="A34" s="7" t="s">
        <v>9</v>
      </c>
      <c r="C34" s="7" t="s">
        <v>9</v>
      </c>
      <c r="D34" s="7" t="s">
        <v>176</v>
      </c>
      <c r="E34" s="7" t="s">
        <v>951</v>
      </c>
      <c r="F34" s="8" t="s">
        <v>952</v>
      </c>
      <c r="G34" s="7">
        <v>1</v>
      </c>
    </row>
    <row r="35" spans="1:8">
      <c r="A35" s="7" t="s">
        <v>9</v>
      </c>
      <c r="C35" s="7" t="s">
        <v>9</v>
      </c>
      <c r="D35" s="7" t="s">
        <v>176</v>
      </c>
      <c r="E35" s="7" t="s">
        <v>953</v>
      </c>
      <c r="F35" s="7" t="s">
        <v>954</v>
      </c>
      <c r="G35" s="7">
        <v>1</v>
      </c>
    </row>
    <row r="36" spans="1:8" ht="21">
      <c r="A36" s="249" t="s">
        <v>945</v>
      </c>
      <c r="B36" s="249"/>
      <c r="C36" s="249"/>
      <c r="D36" s="249"/>
      <c r="E36" s="249"/>
      <c r="F36" s="249"/>
      <c r="G36" s="249"/>
      <c r="H36" s="249"/>
    </row>
    <row r="37" spans="1:8">
      <c r="A37" s="7" t="s">
        <v>9</v>
      </c>
      <c r="C37" s="7" t="s">
        <v>9</v>
      </c>
      <c r="E37" s="7" t="s">
        <v>105</v>
      </c>
      <c r="F37" s="7" t="s">
        <v>947</v>
      </c>
      <c r="G37" s="42" t="s">
        <v>955</v>
      </c>
    </row>
    <row r="38" spans="1:8">
      <c r="A38" s="7" t="s">
        <v>9</v>
      </c>
      <c r="C38" s="7" t="s">
        <v>9</v>
      </c>
      <c r="D38" s="7" t="s">
        <v>176</v>
      </c>
      <c r="E38" s="7" t="s">
        <v>949</v>
      </c>
      <c r="F38" s="7" t="s">
        <v>950</v>
      </c>
      <c r="G38" s="7">
        <v>1</v>
      </c>
    </row>
    <row r="39" spans="1:8" ht="15.95">
      <c r="A39" s="7" t="s">
        <v>9</v>
      </c>
      <c r="C39" s="7" t="s">
        <v>9</v>
      </c>
      <c r="D39" s="7" t="s">
        <v>176</v>
      </c>
      <c r="E39" s="7" t="s">
        <v>951</v>
      </c>
      <c r="F39" s="8" t="s">
        <v>952</v>
      </c>
      <c r="G39" s="7">
        <v>1</v>
      </c>
    </row>
    <row r="40" spans="1:8">
      <c r="A40" s="7" t="s">
        <v>9</v>
      </c>
      <c r="C40" s="7" t="s">
        <v>9</v>
      </c>
      <c r="D40" s="7" t="s">
        <v>176</v>
      </c>
      <c r="E40" s="7" t="s">
        <v>953</v>
      </c>
      <c r="F40" s="7" t="s">
        <v>954</v>
      </c>
      <c r="G40" s="7">
        <v>1</v>
      </c>
    </row>
    <row r="41" spans="1:8" ht="21">
      <c r="A41" s="235" t="s">
        <v>956</v>
      </c>
      <c r="B41" s="235"/>
      <c r="C41" s="235"/>
      <c r="D41" s="235"/>
      <c r="E41" s="235"/>
      <c r="F41" s="235"/>
      <c r="G41" s="235"/>
      <c r="H41" s="235"/>
    </row>
    <row r="42" spans="1:8" ht="48">
      <c r="A42" s="7" t="s">
        <v>9</v>
      </c>
      <c r="C42" s="7" t="s">
        <v>9</v>
      </c>
      <c r="D42" s="7" t="s">
        <v>220</v>
      </c>
      <c r="E42" s="7" t="s">
        <v>6</v>
      </c>
      <c r="F42" s="8" t="s">
        <v>957</v>
      </c>
      <c r="G42" s="42" t="s">
        <v>958</v>
      </c>
    </row>
    <row r="43" spans="1:8" ht="15.95">
      <c r="A43" s="173" t="s">
        <v>10</v>
      </c>
      <c r="B43" s="10"/>
      <c r="C43" s="10" t="s">
        <v>10</v>
      </c>
      <c r="D43" s="175" t="s">
        <v>88</v>
      </c>
      <c r="E43" s="10" t="s">
        <v>959</v>
      </c>
      <c r="F43" s="10" t="s">
        <v>960</v>
      </c>
      <c r="G43" s="178">
        <f>(IF(AND(G5="Option 1"),G7,IF(AND(G5="Option 2"),G9)))*G44*G45</f>
        <v>6.2E-2</v>
      </c>
      <c r="H43" s="10"/>
    </row>
    <row r="44" spans="1:8" ht="15.95">
      <c r="A44" s="173" t="s">
        <v>10</v>
      </c>
      <c r="B44" s="10"/>
      <c r="C44" s="10" t="s">
        <v>10</v>
      </c>
      <c r="D44" s="175" t="s">
        <v>88</v>
      </c>
      <c r="E44" s="10" t="s">
        <v>961</v>
      </c>
      <c r="F44" s="12" t="s">
        <v>962</v>
      </c>
      <c r="G44" s="178">
        <f>IF(AND(G42="Option 1"),(SUM((G34/G35),(G39/G40))/G30),IF(AND(G42="Option 2"),0.0002))</f>
        <v>2.0000000000000001E-4</v>
      </c>
      <c r="H44" s="10"/>
    </row>
    <row r="45" spans="1:8" ht="15.95">
      <c r="A45" s="173" t="s">
        <v>10</v>
      </c>
      <c r="B45" s="10"/>
      <c r="C45" s="10" t="s">
        <v>10</v>
      </c>
      <c r="D45" s="175" t="s">
        <v>88</v>
      </c>
      <c r="E45" s="10" t="s">
        <v>963</v>
      </c>
      <c r="F45" s="10" t="s">
        <v>964</v>
      </c>
      <c r="G45" s="178">
        <v>310</v>
      </c>
      <c r="H45" s="10"/>
    </row>
    <row r="46" spans="1:8" ht="21" customHeight="1">
      <c r="A46" s="235" t="s">
        <v>965</v>
      </c>
      <c r="B46" s="235"/>
      <c r="C46" s="235"/>
      <c r="D46" s="235"/>
      <c r="E46" s="235"/>
      <c r="F46" s="235"/>
      <c r="G46" s="235"/>
      <c r="H46" s="235"/>
    </row>
    <row r="47" spans="1:8">
      <c r="A47" s="7" t="s">
        <v>9</v>
      </c>
      <c r="C47" s="7" t="s">
        <v>9</v>
      </c>
      <c r="D47" s="7" t="s">
        <v>220</v>
      </c>
      <c r="E47" s="7" t="s">
        <v>6</v>
      </c>
      <c r="F47" s="7" t="s">
        <v>966</v>
      </c>
      <c r="G47" s="42" t="s">
        <v>9</v>
      </c>
    </row>
    <row r="48" spans="1:8" ht="144">
      <c r="A48" s="7" t="s">
        <v>9</v>
      </c>
      <c r="C48" s="7" t="s">
        <v>9</v>
      </c>
      <c r="D48" s="7" t="s">
        <v>220</v>
      </c>
      <c r="E48" s="7" t="s">
        <v>6</v>
      </c>
      <c r="F48" s="8" t="s">
        <v>967</v>
      </c>
      <c r="G48" s="42" t="s">
        <v>82</v>
      </c>
    </row>
    <row r="49" spans="1:8" ht="32.1">
      <c r="A49" s="173" t="s">
        <v>10</v>
      </c>
      <c r="B49" s="10"/>
      <c r="C49" s="10" t="s">
        <v>10</v>
      </c>
      <c r="D49" s="175" t="s">
        <v>88</v>
      </c>
      <c r="E49" s="10" t="s">
        <v>968</v>
      </c>
      <c r="F49" s="12" t="s">
        <v>969</v>
      </c>
      <c r="G49" s="178">
        <f>IF(AND(G47="Yes"),0,IF(AND(G47="No"),G50*G51*G53*G54*G55))</f>
        <v>0</v>
      </c>
      <c r="H49" s="10"/>
    </row>
    <row r="50" spans="1:8" ht="32.1">
      <c r="A50" s="173" t="s">
        <v>10</v>
      </c>
      <c r="B50" s="10"/>
      <c r="C50" s="10" t="s">
        <v>10</v>
      </c>
      <c r="D50" s="175" t="s">
        <v>88</v>
      </c>
      <c r="E50" s="10" t="s">
        <v>970</v>
      </c>
      <c r="F50" s="12" t="s">
        <v>971</v>
      </c>
      <c r="G50" s="10">
        <f>IF(AND(G48="Option 1"),G57*G58,IF(AND(G48="Option 2"),G60*G61*G62))</f>
        <v>1</v>
      </c>
      <c r="H50" s="10"/>
    </row>
    <row r="51" spans="1:8" ht="15.95">
      <c r="A51" s="173" t="s">
        <v>10</v>
      </c>
      <c r="B51" s="10"/>
      <c r="C51" s="10" t="s">
        <v>10</v>
      </c>
      <c r="D51" s="175" t="s">
        <v>88</v>
      </c>
      <c r="E51" s="10" t="s">
        <v>972</v>
      </c>
      <c r="F51" s="10" t="s">
        <v>973</v>
      </c>
      <c r="G51" s="10">
        <f>0.25</f>
        <v>0.25</v>
      </c>
      <c r="H51" s="10"/>
    </row>
    <row r="52" spans="1:8" ht="15.95">
      <c r="A52" s="7" t="s">
        <v>9</v>
      </c>
      <c r="C52" s="7" t="s">
        <v>9</v>
      </c>
      <c r="D52" s="7" t="s">
        <v>220</v>
      </c>
      <c r="E52" s="7" t="s">
        <v>302</v>
      </c>
      <c r="F52" s="8" t="s">
        <v>974</v>
      </c>
      <c r="G52" s="8" t="s">
        <v>975</v>
      </c>
    </row>
    <row r="53" spans="1:8" ht="32.1">
      <c r="A53" s="173" t="s">
        <v>10</v>
      </c>
      <c r="B53" s="10"/>
      <c r="C53" s="10" t="s">
        <v>10</v>
      </c>
      <c r="D53" s="175" t="s">
        <v>88</v>
      </c>
      <c r="E53" s="10" t="s">
        <v>976</v>
      </c>
      <c r="F53" s="12" t="s">
        <v>977</v>
      </c>
      <c r="G53" s="10">
        <f>IF(G52="","",VLOOKUP(G52,'[7]MCF Defaults'!B3:C10,2,FALSE))</f>
        <v>0.2</v>
      </c>
      <c r="H53" s="10"/>
    </row>
    <row r="54" spans="1:8" ht="32.1">
      <c r="A54" s="173" t="s">
        <v>10</v>
      </c>
      <c r="B54" s="10"/>
      <c r="C54" s="10" t="s">
        <v>10</v>
      </c>
      <c r="D54" s="175" t="s">
        <v>88</v>
      </c>
      <c r="E54" s="10"/>
      <c r="F54" s="12" t="s">
        <v>978</v>
      </c>
      <c r="G54" s="10">
        <f>1.12</f>
        <v>1.1200000000000001</v>
      </c>
      <c r="H54" s="10"/>
    </row>
    <row r="55" spans="1:8" ht="15.95">
      <c r="A55" s="173" t="s">
        <v>10</v>
      </c>
      <c r="B55" s="10"/>
      <c r="C55" s="10" t="s">
        <v>10</v>
      </c>
      <c r="D55" s="175" t="s">
        <v>88</v>
      </c>
      <c r="E55" s="10" t="s">
        <v>979</v>
      </c>
      <c r="F55" s="10" t="s">
        <v>980</v>
      </c>
      <c r="G55" s="10">
        <f>21</f>
        <v>21</v>
      </c>
      <c r="H55" s="10"/>
    </row>
    <row r="56" spans="1:8" ht="21">
      <c r="A56" s="235" t="s">
        <v>981</v>
      </c>
      <c r="B56" s="235"/>
      <c r="C56" s="235"/>
      <c r="D56" s="235"/>
      <c r="E56" s="235"/>
      <c r="F56" s="235"/>
      <c r="G56" s="235"/>
      <c r="H56" s="235"/>
    </row>
    <row r="57" spans="1:8" ht="15.95">
      <c r="A57" s="7" t="s">
        <v>9</v>
      </c>
      <c r="C57" s="7" t="s">
        <v>9</v>
      </c>
      <c r="D57" s="137" t="s">
        <v>176</v>
      </c>
      <c r="E57" s="7" t="s">
        <v>982</v>
      </c>
      <c r="F57" s="8" t="s">
        <v>983</v>
      </c>
      <c r="G57" s="7">
        <v>1</v>
      </c>
    </row>
    <row r="58" spans="1:8" ht="32.1">
      <c r="A58" s="7" t="s">
        <v>9</v>
      </c>
      <c r="C58" s="7" t="s">
        <v>9</v>
      </c>
      <c r="D58" s="137" t="s">
        <v>176</v>
      </c>
      <c r="E58" s="7" t="s">
        <v>984</v>
      </c>
      <c r="F58" s="8" t="s">
        <v>985</v>
      </c>
      <c r="G58" s="7">
        <v>1</v>
      </c>
    </row>
    <row r="59" spans="1:8" ht="21">
      <c r="A59" s="235" t="s">
        <v>986</v>
      </c>
      <c r="B59" s="235"/>
      <c r="C59" s="235"/>
      <c r="D59" s="235"/>
      <c r="E59" s="235"/>
      <c r="F59" s="235"/>
      <c r="G59" s="235"/>
      <c r="H59" s="235"/>
    </row>
    <row r="60" spans="1:8" ht="15.95">
      <c r="A60" s="7" t="s">
        <v>9</v>
      </c>
      <c r="C60" s="7" t="s">
        <v>9</v>
      </c>
      <c r="D60" s="137" t="s">
        <v>176</v>
      </c>
      <c r="E60" s="7" t="s">
        <v>987</v>
      </c>
      <c r="F60" s="7" t="s">
        <v>988</v>
      </c>
      <c r="G60" s="7">
        <v>1</v>
      </c>
    </row>
    <row r="61" spans="1:8" ht="15.95">
      <c r="A61" s="7" t="s">
        <v>9</v>
      </c>
      <c r="C61" s="7" t="s">
        <v>9</v>
      </c>
      <c r="D61" s="137" t="s">
        <v>176</v>
      </c>
      <c r="E61" s="7" t="s">
        <v>989</v>
      </c>
      <c r="F61" s="7" t="s">
        <v>990</v>
      </c>
      <c r="G61" s="7">
        <v>1</v>
      </c>
    </row>
    <row r="62" spans="1:8" ht="32.1">
      <c r="A62" s="173" t="s">
        <v>10</v>
      </c>
      <c r="B62" s="10"/>
      <c r="C62" s="10" t="s">
        <v>10</v>
      </c>
      <c r="D62" s="175" t="s">
        <v>88</v>
      </c>
      <c r="E62" s="10" t="s">
        <v>991</v>
      </c>
      <c r="F62" s="12" t="s">
        <v>992</v>
      </c>
      <c r="G62" s="10">
        <f>0.02</f>
        <v>0.02</v>
      </c>
      <c r="H62" s="10"/>
    </row>
    <row r="63" spans="1:8" ht="21">
      <c r="A63" s="235" t="s">
        <v>993</v>
      </c>
      <c r="B63" s="235"/>
      <c r="C63" s="235"/>
      <c r="D63" s="235"/>
      <c r="E63" s="235"/>
      <c r="F63" s="235"/>
      <c r="G63" s="235"/>
      <c r="H63" s="235"/>
    </row>
    <row r="64" spans="1:8" ht="48">
      <c r="A64" s="7" t="s">
        <v>9</v>
      </c>
      <c r="C64" s="7" t="s">
        <v>9</v>
      </c>
      <c r="D64" s="7" t="s">
        <v>220</v>
      </c>
      <c r="E64" s="7" t="s">
        <v>6</v>
      </c>
      <c r="F64" s="8" t="s">
        <v>994</v>
      </c>
      <c r="G64" s="42" t="s">
        <v>9</v>
      </c>
    </row>
    <row r="65" spans="1:8" ht="15.95">
      <c r="A65" s="173" t="s">
        <v>10</v>
      </c>
      <c r="B65" s="10"/>
      <c r="C65" s="10" t="s">
        <v>10</v>
      </c>
      <c r="D65" s="175" t="s">
        <v>88</v>
      </c>
      <c r="E65" s="10" t="s">
        <v>995</v>
      </c>
      <c r="F65" s="10" t="s">
        <v>996</v>
      </c>
      <c r="G65" s="10" t="e">
        <f>IF(AND(G64="No"),0,IF(AND(G64="Yes"),'[7]Tool 04-SWDS-Yearly'!C86))</f>
        <v>#REF!</v>
      </c>
      <c r="H65" s="10"/>
    </row>
  </sheetData>
  <mergeCells count="19">
    <mergeCell ref="A63:H63"/>
    <mergeCell ref="A31:H31"/>
    <mergeCell ref="A36:H36"/>
    <mergeCell ref="A41:H41"/>
    <mergeCell ref="A46:H46"/>
    <mergeCell ref="A56:H56"/>
    <mergeCell ref="A59:H59"/>
    <mergeCell ref="A29:H29"/>
    <mergeCell ref="A2:H2"/>
    <mergeCell ref="A4:H4"/>
    <mergeCell ref="A6:H6"/>
    <mergeCell ref="A8:H8"/>
    <mergeCell ref="A10:H10"/>
    <mergeCell ref="A12:H12"/>
    <mergeCell ref="A14:H14"/>
    <mergeCell ref="A17:H17"/>
    <mergeCell ref="A19:H19"/>
    <mergeCell ref="A21:H21"/>
    <mergeCell ref="A25:H25"/>
  </mergeCells>
  <dataValidations count="3">
    <dataValidation type="list" allowBlank="1" showInputMessage="1" showErrorMessage="1" sqref="G15 G47 G64" xr:uid="{B0FEC1CA-EC6D-184E-B2C7-8F8EABB680A6}">
      <formula1>"Yes,No"</formula1>
    </dataValidation>
    <dataValidation type="list" allowBlank="1" showInputMessage="1" showErrorMessage="1" sqref="G5" xr:uid="{DE685F33-5589-B547-A2FF-1FEF0E853BDD}">
      <formula1>"Option 1, Option 2"</formula1>
    </dataValidation>
    <dataValidation type="list" allowBlank="1" showInputMessage="1" showErrorMessage="1" sqref="G18 G48 G26 G42" xr:uid="{F0E4FD54-3E1B-DE41-BA14-6D449A5A3C06}">
      <formula1>"Option 1,Option 2"</formula1>
    </dataValidation>
  </dataValidation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E637B-5335-0C43-8A9B-36ED60E48315}">
  <dimension ref="A1:G10"/>
  <sheetViews>
    <sheetView workbookViewId="0">
      <selection activeCell="G3" sqref="G3"/>
    </sheetView>
  </sheetViews>
  <sheetFormatPr defaultColWidth="8.875" defaultRowHeight="15"/>
  <cols>
    <col min="1" max="1" width="9.375" style="7" customWidth="1"/>
    <col min="2" max="2" width="50.125" style="7" customWidth="1"/>
    <col min="3" max="3" width="15.5" style="7" customWidth="1"/>
    <col min="4" max="16384" width="8.875" style="7"/>
  </cols>
  <sheetData>
    <row r="1" spans="1:7" ht="21.75" customHeight="1" thickBot="1">
      <c r="A1" s="179"/>
      <c r="B1" s="250" t="s">
        <v>997</v>
      </c>
      <c r="C1" s="250"/>
      <c r="D1" s="179"/>
      <c r="E1" s="179"/>
      <c r="F1" s="179"/>
      <c r="G1" s="179"/>
    </row>
    <row r="2" spans="1:7" ht="41.1" thickBot="1">
      <c r="B2" s="180" t="s">
        <v>998</v>
      </c>
      <c r="C2" s="139" t="s">
        <v>999</v>
      </c>
    </row>
    <row r="3" spans="1:7" ht="15.95">
      <c r="B3" s="181" t="s">
        <v>1000</v>
      </c>
      <c r="C3" s="182">
        <v>0.1</v>
      </c>
    </row>
    <row r="4" spans="1:7">
      <c r="B4" s="183" t="s">
        <v>1001</v>
      </c>
      <c r="C4" s="184">
        <v>0</v>
      </c>
    </row>
    <row r="5" spans="1:7" ht="15.95">
      <c r="B5" s="185" t="s">
        <v>1002</v>
      </c>
      <c r="C5" s="184">
        <v>0.3</v>
      </c>
    </row>
    <row r="6" spans="1:7" ht="15.95">
      <c r="B6" s="185" t="s">
        <v>1003</v>
      </c>
      <c r="C6" s="184">
        <v>0.8</v>
      </c>
    </row>
    <row r="7" spans="1:7" ht="15.95">
      <c r="B7" s="185" t="s">
        <v>1004</v>
      </c>
      <c r="C7" s="184">
        <v>0.8</v>
      </c>
    </row>
    <row r="8" spans="1:7" ht="15.95">
      <c r="B8" s="185" t="s">
        <v>975</v>
      </c>
      <c r="C8" s="184">
        <v>0.2</v>
      </c>
    </row>
    <row r="9" spans="1:7" ht="15.95">
      <c r="B9" s="185" t="s">
        <v>1005</v>
      </c>
      <c r="C9" s="184">
        <v>0.8</v>
      </c>
    </row>
    <row r="10" spans="1:7" ht="15.95" thickBot="1">
      <c r="B10" s="186" t="s">
        <v>1006</v>
      </c>
      <c r="C10" s="187">
        <v>0.5</v>
      </c>
    </row>
  </sheetData>
  <mergeCells count="1">
    <mergeCell ref="B1:C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196E3E-871E-5F49-BC75-0511987515F9}">
  <dimension ref="A1:H47"/>
  <sheetViews>
    <sheetView zoomScaleNormal="100" workbookViewId="0">
      <pane ySplit="1" topLeftCell="A2" activePane="bottomLeft" state="frozen"/>
      <selection pane="bottomLeft" activeCell="G6" sqref="G6"/>
      <selection activeCell="F11" sqref="F11"/>
    </sheetView>
  </sheetViews>
  <sheetFormatPr defaultColWidth="8.875" defaultRowHeight="15"/>
  <cols>
    <col min="1" max="1" width="12.5" style="7" bestFit="1" customWidth="1"/>
    <col min="2" max="2" width="13.125" style="7" bestFit="1" customWidth="1"/>
    <col min="3" max="3" width="11.625" style="7" bestFit="1" customWidth="1"/>
    <col min="4" max="4" width="17.125" style="7" bestFit="1" customWidth="1"/>
    <col min="5" max="5" width="17.375" style="7" bestFit="1" customWidth="1"/>
    <col min="6" max="6" width="84" style="7" customWidth="1"/>
    <col min="7" max="7" width="22.875" style="7" customWidth="1"/>
    <col min="8" max="8" width="94.5" style="7" customWidth="1"/>
    <col min="9" max="16384" width="8.875" style="7"/>
  </cols>
  <sheetData>
    <row r="1" spans="1:8" ht="39.75" customHeight="1">
      <c r="A1" s="95" t="s">
        <v>0</v>
      </c>
      <c r="B1" s="95" t="s">
        <v>163</v>
      </c>
      <c r="C1" s="96" t="s">
        <v>164</v>
      </c>
      <c r="D1" s="95" t="s">
        <v>3</v>
      </c>
      <c r="E1" s="95" t="s">
        <v>5</v>
      </c>
      <c r="F1" s="53" t="s">
        <v>6</v>
      </c>
      <c r="G1" s="53" t="s">
        <v>7</v>
      </c>
      <c r="H1" s="96" t="s">
        <v>165</v>
      </c>
    </row>
    <row r="2" spans="1:8" ht="30" customHeight="1">
      <c r="A2" s="235" t="s">
        <v>1007</v>
      </c>
      <c r="B2" s="235"/>
      <c r="C2" s="235"/>
      <c r="D2" s="235"/>
      <c r="E2" s="235"/>
      <c r="F2" s="235"/>
      <c r="G2" s="235"/>
      <c r="H2" s="235"/>
    </row>
    <row r="3" spans="1:8" ht="33" customHeight="1">
      <c r="A3" s="251" t="s">
        <v>216</v>
      </c>
      <c r="B3" s="251"/>
      <c r="C3" s="251"/>
      <c r="D3" s="251"/>
      <c r="E3" s="251"/>
      <c r="F3" s="251"/>
      <c r="G3" s="251"/>
      <c r="H3" s="251"/>
    </row>
    <row r="4" spans="1:8" s="103" customFormat="1" ht="204">
      <c r="A4" s="188" t="s">
        <v>9</v>
      </c>
      <c r="B4" s="188"/>
      <c r="C4" s="188" t="s">
        <v>10</v>
      </c>
      <c r="D4" s="188" t="s">
        <v>217</v>
      </c>
      <c r="E4" s="188"/>
      <c r="F4" s="189" t="s">
        <v>1008</v>
      </c>
      <c r="G4" s="189" t="s">
        <v>1009</v>
      </c>
      <c r="H4" s="190" t="s">
        <v>1010</v>
      </c>
    </row>
    <row r="5" spans="1:8" ht="30.75" customHeight="1">
      <c r="A5" s="252" t="s">
        <v>235</v>
      </c>
      <c r="B5" s="252"/>
      <c r="C5" s="252"/>
      <c r="D5" s="252"/>
      <c r="E5" s="252"/>
      <c r="F5" s="252"/>
      <c r="G5" s="252"/>
      <c r="H5" s="252"/>
    </row>
    <row r="6" spans="1:8" ht="26.1">
      <c r="A6" s="191" t="s">
        <v>10</v>
      </c>
      <c r="B6" s="191"/>
      <c r="C6" s="191" t="s">
        <v>10</v>
      </c>
      <c r="D6" s="191" t="s">
        <v>232</v>
      </c>
      <c r="E6" s="110" t="s">
        <v>1011</v>
      </c>
      <c r="F6" s="12" t="s">
        <v>237</v>
      </c>
      <c r="G6" s="17">
        <f>SUM(G8*G7*(1+G9))</f>
        <v>0.73499999999999999</v>
      </c>
      <c r="H6" s="17"/>
    </row>
    <row r="7" spans="1:8" ht="26.1">
      <c r="A7" s="191" t="s">
        <v>10</v>
      </c>
      <c r="B7" s="191"/>
      <c r="C7" s="191" t="s">
        <v>10</v>
      </c>
      <c r="D7" s="191" t="s">
        <v>232</v>
      </c>
      <c r="E7" s="110" t="s">
        <v>1012</v>
      </c>
      <c r="F7" s="12" t="s">
        <v>249</v>
      </c>
      <c r="G7" s="17">
        <f>G32</f>
        <v>0.25</v>
      </c>
      <c r="H7" s="12" t="s">
        <v>1013</v>
      </c>
    </row>
    <row r="8" spans="1:8" ht="26.1">
      <c r="A8" s="103" t="s">
        <v>9</v>
      </c>
      <c r="B8" s="103"/>
      <c r="C8" s="103" t="s">
        <v>9</v>
      </c>
      <c r="D8" s="103" t="s">
        <v>176</v>
      </c>
      <c r="E8" s="112" t="s">
        <v>1014</v>
      </c>
      <c r="F8" s="8" t="s">
        <v>243</v>
      </c>
      <c r="G8" s="9">
        <v>2.8</v>
      </c>
    </row>
    <row r="9" spans="1:8" ht="32.1">
      <c r="A9" s="103" t="s">
        <v>9</v>
      </c>
      <c r="B9" s="103"/>
      <c r="C9" s="103" t="s">
        <v>9</v>
      </c>
      <c r="D9" s="103" t="s">
        <v>176</v>
      </c>
      <c r="E9" s="112" t="s">
        <v>1015</v>
      </c>
      <c r="F9" s="8" t="s">
        <v>257</v>
      </c>
      <c r="G9" s="9">
        <v>0.05</v>
      </c>
    </row>
    <row r="10" spans="1:8" ht="21" customHeight="1">
      <c r="A10" s="103" t="s">
        <v>9</v>
      </c>
      <c r="B10" s="103"/>
      <c r="C10" s="103" t="s">
        <v>9</v>
      </c>
      <c r="D10" s="103" t="s">
        <v>11</v>
      </c>
      <c r="E10" s="192" t="s">
        <v>119</v>
      </c>
      <c r="F10" s="7" t="s">
        <v>262</v>
      </c>
      <c r="G10" s="9"/>
    </row>
    <row r="11" spans="1:8" ht="26.1">
      <c r="A11" s="191" t="s">
        <v>10</v>
      </c>
      <c r="B11" s="191"/>
      <c r="C11" s="191" t="s">
        <v>10</v>
      </c>
      <c r="D11" s="191" t="s">
        <v>232</v>
      </c>
      <c r="E11" s="110" t="s">
        <v>1016</v>
      </c>
      <c r="F11" s="12" t="s">
        <v>239</v>
      </c>
      <c r="G11" s="17">
        <f>SUM(G13*G12*(1+G14))</f>
        <v>1.1287499999999999</v>
      </c>
      <c r="H11" s="17"/>
    </row>
    <row r="12" spans="1:8" ht="26.1">
      <c r="A12" s="191" t="s">
        <v>10</v>
      </c>
      <c r="B12" s="191"/>
      <c r="C12" s="191" t="s">
        <v>10</v>
      </c>
      <c r="D12" s="191" t="s">
        <v>232</v>
      </c>
      <c r="E12" s="110" t="s">
        <v>1017</v>
      </c>
      <c r="F12" s="12" t="s">
        <v>252</v>
      </c>
      <c r="G12" s="17">
        <f>G32</f>
        <v>0.25</v>
      </c>
      <c r="H12" s="12" t="s">
        <v>1013</v>
      </c>
    </row>
    <row r="13" spans="1:8" ht="26.1">
      <c r="A13" s="103" t="s">
        <v>9</v>
      </c>
      <c r="B13" s="103"/>
      <c r="C13" s="103" t="s">
        <v>9</v>
      </c>
      <c r="D13" s="103" t="s">
        <v>176</v>
      </c>
      <c r="E13" s="112" t="s">
        <v>1018</v>
      </c>
      <c r="F13" s="8" t="s">
        <v>245</v>
      </c>
      <c r="G13" s="9">
        <v>4.3</v>
      </c>
    </row>
    <row r="14" spans="1:8" ht="32.1">
      <c r="A14" s="103" t="s">
        <v>9</v>
      </c>
      <c r="B14" s="103"/>
      <c r="C14" s="103" t="s">
        <v>9</v>
      </c>
      <c r="D14" s="103" t="s">
        <v>176</v>
      </c>
      <c r="E14" s="112" t="s">
        <v>1019</v>
      </c>
      <c r="F14" s="8" t="s">
        <v>259</v>
      </c>
      <c r="G14" s="9">
        <v>0.05</v>
      </c>
    </row>
    <row r="15" spans="1:8" ht="30" customHeight="1">
      <c r="A15" s="103" t="s">
        <v>9</v>
      </c>
      <c r="B15" s="103"/>
      <c r="C15" s="103" t="s">
        <v>9</v>
      </c>
      <c r="D15" s="103" t="s">
        <v>11</v>
      </c>
      <c r="E15" s="192" t="s">
        <v>263</v>
      </c>
      <c r="F15" s="7" t="s">
        <v>264</v>
      </c>
      <c r="G15" s="9"/>
    </row>
    <row r="16" spans="1:8" ht="26.1">
      <c r="A16" s="191" t="s">
        <v>10</v>
      </c>
      <c r="B16" s="191"/>
      <c r="C16" s="191" t="s">
        <v>10</v>
      </c>
      <c r="D16" s="191" t="s">
        <v>232</v>
      </c>
      <c r="E16" s="110" t="s">
        <v>1020</v>
      </c>
      <c r="F16" s="12" t="s">
        <v>241</v>
      </c>
      <c r="G16" s="17">
        <f>SUM(G18*G17*(1+G19))</f>
        <v>0.39375000000000004</v>
      </c>
      <c r="H16" s="17"/>
    </row>
    <row r="17" spans="1:8" ht="26.1">
      <c r="A17" s="191" t="s">
        <v>10</v>
      </c>
      <c r="B17" s="191"/>
      <c r="C17" s="191" t="s">
        <v>10</v>
      </c>
      <c r="D17" s="191" t="s">
        <v>232</v>
      </c>
      <c r="E17" s="110" t="s">
        <v>1021</v>
      </c>
      <c r="F17" s="12" t="s">
        <v>255</v>
      </c>
      <c r="G17" s="17">
        <f>G32</f>
        <v>0.25</v>
      </c>
      <c r="H17" s="12" t="s">
        <v>1013</v>
      </c>
    </row>
    <row r="18" spans="1:8" ht="26.1">
      <c r="A18" s="103" t="s">
        <v>9</v>
      </c>
      <c r="B18" s="103"/>
      <c r="C18" s="103" t="s">
        <v>9</v>
      </c>
      <c r="D18" s="103" t="s">
        <v>176</v>
      </c>
      <c r="E18" s="112" t="s">
        <v>1022</v>
      </c>
      <c r="F18" s="8" t="s">
        <v>247</v>
      </c>
      <c r="G18" s="9">
        <v>1.5</v>
      </c>
    </row>
    <row r="19" spans="1:8" ht="32.1">
      <c r="A19" s="103" t="s">
        <v>9</v>
      </c>
      <c r="B19" s="103"/>
      <c r="C19" s="103" t="s">
        <v>9</v>
      </c>
      <c r="D19" s="103" t="s">
        <v>176</v>
      </c>
      <c r="E19" s="112" t="s">
        <v>1023</v>
      </c>
      <c r="F19" s="8" t="s">
        <v>261</v>
      </c>
      <c r="G19" s="9">
        <v>0.05</v>
      </c>
    </row>
    <row r="20" spans="1:8" ht="24" customHeight="1">
      <c r="A20" s="103" t="s">
        <v>9</v>
      </c>
      <c r="B20" s="103"/>
      <c r="C20" s="103" t="s">
        <v>9</v>
      </c>
      <c r="D20" s="103" t="s">
        <v>11</v>
      </c>
      <c r="E20" s="192" t="s">
        <v>265</v>
      </c>
      <c r="F20" s="7" t="s">
        <v>266</v>
      </c>
      <c r="G20" s="9"/>
    </row>
    <row r="21" spans="1:8" ht="36" customHeight="1">
      <c r="A21" s="253" t="s">
        <v>1024</v>
      </c>
      <c r="B21" s="253"/>
      <c r="C21" s="253"/>
      <c r="D21" s="253"/>
      <c r="E21" s="253"/>
      <c r="F21" s="253"/>
      <c r="G21" s="253"/>
      <c r="H21" s="253"/>
    </row>
    <row r="22" spans="1:8" ht="28.5" customHeight="1">
      <c r="A22" s="10" t="s">
        <v>10</v>
      </c>
      <c r="B22" s="10"/>
      <c r="C22" s="10" t="s">
        <v>10</v>
      </c>
      <c r="D22" s="10" t="s">
        <v>232</v>
      </c>
      <c r="E22" s="110" t="s">
        <v>1025</v>
      </c>
      <c r="F22" s="12" t="s">
        <v>277</v>
      </c>
      <c r="G22" s="17">
        <f>11400*1.3*G24</f>
        <v>0</v>
      </c>
      <c r="H22" s="17"/>
    </row>
    <row r="23" spans="1:8" ht="28.5" customHeight="1">
      <c r="A23" s="10" t="s">
        <v>10</v>
      </c>
      <c r="B23" s="10"/>
      <c r="C23" s="10" t="s">
        <v>10</v>
      </c>
      <c r="D23" s="10" t="s">
        <v>232</v>
      </c>
      <c r="E23" s="110" t="s">
        <v>1026</v>
      </c>
      <c r="F23" s="12" t="s">
        <v>278</v>
      </c>
      <c r="G23" s="17">
        <f>11400*1.3*G26</f>
        <v>0</v>
      </c>
      <c r="H23" s="17"/>
    </row>
    <row r="24" spans="1:8" ht="32.1">
      <c r="A24" s="7" t="s">
        <v>10</v>
      </c>
      <c r="C24" s="7" t="s">
        <v>9</v>
      </c>
      <c r="D24" s="7" t="s">
        <v>176</v>
      </c>
      <c r="E24" s="112" t="s">
        <v>1027</v>
      </c>
      <c r="F24" s="8" t="s">
        <v>1028</v>
      </c>
    </row>
    <row r="25" spans="1:8" ht="32.1">
      <c r="A25" s="7" t="s">
        <v>9</v>
      </c>
      <c r="C25" s="7" t="s">
        <v>9</v>
      </c>
      <c r="D25" s="7" t="s">
        <v>11</v>
      </c>
      <c r="E25" s="112" t="s">
        <v>119</v>
      </c>
      <c r="F25" s="8" t="s">
        <v>1029</v>
      </c>
    </row>
    <row r="26" spans="1:8" ht="32.1">
      <c r="A26" s="7" t="s">
        <v>10</v>
      </c>
      <c r="C26" s="7" t="s">
        <v>9</v>
      </c>
      <c r="D26" s="7" t="s">
        <v>176</v>
      </c>
      <c r="E26" s="112" t="s">
        <v>1030</v>
      </c>
      <c r="F26" s="8" t="s">
        <v>1031</v>
      </c>
    </row>
    <row r="27" spans="1:8" ht="32.1">
      <c r="A27" s="7" t="s">
        <v>9</v>
      </c>
      <c r="C27" s="7" t="s">
        <v>9</v>
      </c>
      <c r="D27" s="7" t="s">
        <v>11</v>
      </c>
      <c r="E27" s="112" t="s">
        <v>265</v>
      </c>
      <c r="F27" s="8" t="s">
        <v>1032</v>
      </c>
    </row>
    <row r="28" spans="1:8" ht="21">
      <c r="A28" s="251" t="s">
        <v>267</v>
      </c>
      <c r="B28" s="251"/>
      <c r="C28" s="251"/>
      <c r="D28" s="251"/>
      <c r="E28" s="251"/>
      <c r="F28" s="251"/>
      <c r="G28" s="251"/>
      <c r="H28" s="251"/>
    </row>
    <row r="29" spans="1:8" ht="92.25" customHeight="1">
      <c r="A29" s="58" t="s">
        <v>9</v>
      </c>
      <c r="B29" s="58"/>
      <c r="C29" s="58" t="s">
        <v>10</v>
      </c>
      <c r="D29" s="58" t="s">
        <v>217</v>
      </c>
      <c r="E29" s="59" t="s">
        <v>1033</v>
      </c>
      <c r="F29" s="193" t="s">
        <v>1034</v>
      </c>
      <c r="G29" s="58" t="s">
        <v>1035</v>
      </c>
      <c r="H29" s="59" t="s">
        <v>1036</v>
      </c>
    </row>
    <row r="30" spans="1:8" ht="102" customHeight="1">
      <c r="A30" s="58" t="s">
        <v>9</v>
      </c>
      <c r="B30" s="58"/>
      <c r="C30" s="58" t="s">
        <v>10</v>
      </c>
      <c r="D30" s="58" t="s">
        <v>217</v>
      </c>
      <c r="E30" s="194" t="s">
        <v>1037</v>
      </c>
      <c r="F30" s="193" t="s">
        <v>1038</v>
      </c>
      <c r="G30" s="194" t="s">
        <v>1039</v>
      </c>
      <c r="H30" s="144"/>
    </row>
    <row r="31" spans="1:8" ht="68.25" customHeight="1">
      <c r="A31" s="58" t="s">
        <v>9</v>
      </c>
      <c r="B31" s="58"/>
      <c r="C31" s="58" t="s">
        <v>10</v>
      </c>
      <c r="D31" s="58" t="s">
        <v>217</v>
      </c>
      <c r="E31" s="194" t="s">
        <v>1040</v>
      </c>
      <c r="F31" s="193" t="s">
        <v>1041</v>
      </c>
      <c r="G31" s="194" t="s">
        <v>10</v>
      </c>
      <c r="H31" s="144" t="s">
        <v>1042</v>
      </c>
    </row>
    <row r="32" spans="1:8" ht="70.5" customHeight="1">
      <c r="A32" s="10" t="s">
        <v>10</v>
      </c>
      <c r="B32" s="10"/>
      <c r="C32" s="10" t="s">
        <v>10</v>
      </c>
      <c r="D32" s="10" t="s">
        <v>232</v>
      </c>
      <c r="E32" s="195" t="s">
        <v>1043</v>
      </c>
      <c r="F32" s="12" t="s">
        <v>268</v>
      </c>
      <c r="G32" s="17">
        <v>0.25</v>
      </c>
      <c r="H32" s="141" t="s">
        <v>1044</v>
      </c>
    </row>
    <row r="33" spans="1:8" ht="31.5" customHeight="1">
      <c r="A33" s="246" t="s">
        <v>1045</v>
      </c>
      <c r="B33" s="246"/>
      <c r="C33" s="246"/>
      <c r="D33" s="246"/>
      <c r="E33" s="246"/>
      <c r="F33" s="246"/>
      <c r="G33" s="246"/>
      <c r="H33" s="246"/>
    </row>
    <row r="34" spans="1:8" ht="96">
      <c r="A34" s="58" t="s">
        <v>9</v>
      </c>
      <c r="B34" s="58"/>
      <c r="C34" s="58" t="s">
        <v>10</v>
      </c>
      <c r="D34" s="58" t="s">
        <v>217</v>
      </c>
      <c r="E34" s="193" t="s">
        <v>1046</v>
      </c>
      <c r="F34" s="193" t="s">
        <v>1047</v>
      </c>
      <c r="G34" s="193" t="s">
        <v>1048</v>
      </c>
      <c r="H34" s="193" t="s">
        <v>1049</v>
      </c>
    </row>
    <row r="35" spans="1:8" ht="48">
      <c r="A35" s="58" t="s">
        <v>9</v>
      </c>
      <c r="B35" s="58"/>
      <c r="C35" s="58" t="s">
        <v>10</v>
      </c>
      <c r="D35" s="58" t="s">
        <v>217</v>
      </c>
      <c r="E35" s="193" t="s">
        <v>1050</v>
      </c>
      <c r="F35" s="193" t="s">
        <v>1051</v>
      </c>
      <c r="G35" s="194" t="s">
        <v>1052</v>
      </c>
      <c r="H35" s="193" t="s">
        <v>1053</v>
      </c>
    </row>
    <row r="36" spans="1:8" ht="96">
      <c r="A36" s="58" t="s">
        <v>9</v>
      </c>
      <c r="B36" s="58"/>
      <c r="C36" s="58" t="s">
        <v>10</v>
      </c>
      <c r="D36" s="58" t="s">
        <v>217</v>
      </c>
      <c r="E36" s="193" t="s">
        <v>1054</v>
      </c>
      <c r="F36" s="193" t="s">
        <v>1055</v>
      </c>
      <c r="G36" s="193" t="s">
        <v>1056</v>
      </c>
      <c r="H36" s="144" t="s">
        <v>1057</v>
      </c>
    </row>
    <row r="37" spans="1:8" ht="63" customHeight="1">
      <c r="A37" s="10" t="s">
        <v>10</v>
      </c>
      <c r="B37" s="10"/>
      <c r="C37" s="10" t="s">
        <v>10</v>
      </c>
      <c r="D37" s="10" t="s">
        <v>232</v>
      </c>
      <c r="E37" s="195" t="s">
        <v>1043</v>
      </c>
      <c r="F37" s="12" t="s">
        <v>1058</v>
      </c>
      <c r="G37" s="17" t="e">
        <f>'[7]Tool 05.2 Power Plants'!G3</f>
        <v>#REF!</v>
      </c>
      <c r="H37" s="17" t="s">
        <v>1059</v>
      </c>
    </row>
    <row r="38" spans="1:8" ht="49.5" customHeight="1">
      <c r="A38" s="10" t="s">
        <v>10</v>
      </c>
      <c r="B38" s="10"/>
      <c r="C38" s="10" t="s">
        <v>10</v>
      </c>
      <c r="D38" s="10" t="s">
        <v>232</v>
      </c>
      <c r="E38" s="195" t="s">
        <v>1043</v>
      </c>
      <c r="F38" s="12" t="s">
        <v>273</v>
      </c>
      <c r="G38" s="17" t="e">
        <f>'[7]Tool 05.2 Power Plants'!G4</f>
        <v>#REF!</v>
      </c>
      <c r="H38" s="13" t="s">
        <v>1060</v>
      </c>
    </row>
    <row r="39" spans="1:8" ht="21">
      <c r="A39" s="246" t="s">
        <v>274</v>
      </c>
      <c r="B39" s="246"/>
      <c r="C39" s="246"/>
      <c r="D39" s="246"/>
      <c r="E39" s="246"/>
      <c r="F39" s="246"/>
      <c r="G39" s="246"/>
      <c r="H39" s="246"/>
    </row>
    <row r="40" spans="1:8" ht="96">
      <c r="A40" s="58" t="s">
        <v>9</v>
      </c>
      <c r="B40" s="58"/>
      <c r="C40" s="58" t="s">
        <v>10</v>
      </c>
      <c r="D40" s="58" t="s">
        <v>217</v>
      </c>
      <c r="E40" s="193" t="s">
        <v>1061</v>
      </c>
      <c r="F40" s="193" t="s">
        <v>1062</v>
      </c>
      <c r="G40" s="194" t="s">
        <v>684</v>
      </c>
      <c r="H40" s="144" t="s">
        <v>1063</v>
      </c>
    </row>
    <row r="41" spans="1:8" ht="45" customHeight="1">
      <c r="A41" s="10" t="s">
        <v>10</v>
      </c>
      <c r="B41" s="10"/>
      <c r="C41" s="10" t="s">
        <v>10</v>
      </c>
      <c r="D41" s="10" t="s">
        <v>232</v>
      </c>
      <c r="E41" s="195" t="s">
        <v>1043</v>
      </c>
      <c r="F41" s="12" t="s">
        <v>268</v>
      </c>
      <c r="G41" s="17">
        <v>1.3</v>
      </c>
      <c r="H41" s="17" t="s">
        <v>1064</v>
      </c>
    </row>
    <row r="42" spans="1:8" ht="34.5" customHeight="1">
      <c r="A42" s="10" t="s">
        <v>10</v>
      </c>
      <c r="B42" s="10"/>
      <c r="C42" s="10" t="s">
        <v>10</v>
      </c>
      <c r="D42" s="10" t="s">
        <v>232</v>
      </c>
      <c r="E42" s="195" t="s">
        <v>1043</v>
      </c>
      <c r="F42" s="12" t="s">
        <v>269</v>
      </c>
      <c r="G42" s="17">
        <v>0.4</v>
      </c>
      <c r="H42" s="17" t="s">
        <v>1065</v>
      </c>
    </row>
    <row r="43" spans="1:8" ht="21">
      <c r="A43" s="246" t="s">
        <v>1066</v>
      </c>
      <c r="B43" s="246"/>
      <c r="C43" s="246"/>
      <c r="D43" s="246"/>
      <c r="E43" s="246"/>
      <c r="F43" s="246"/>
      <c r="G43" s="246"/>
      <c r="H43" s="246"/>
    </row>
    <row r="44" spans="1:8" ht="183.95">
      <c r="A44" s="58" t="s">
        <v>9</v>
      </c>
      <c r="B44" s="58"/>
      <c r="C44" s="58" t="s">
        <v>10</v>
      </c>
      <c r="D44" s="58" t="s">
        <v>217</v>
      </c>
      <c r="E44" s="58"/>
      <c r="F44" s="193" t="s">
        <v>1067</v>
      </c>
      <c r="G44" s="194" t="s">
        <v>1068</v>
      </c>
      <c r="H44" s="59"/>
    </row>
    <row r="45" spans="1:8" ht="15.95">
      <c r="A45" s="58" t="s">
        <v>9</v>
      </c>
      <c r="B45" s="58"/>
      <c r="C45" s="58" t="s">
        <v>10</v>
      </c>
      <c r="D45" s="58" t="s">
        <v>220</v>
      </c>
      <c r="E45" s="58"/>
      <c r="F45" s="59" t="s">
        <v>1069</v>
      </c>
      <c r="G45" s="59" t="s">
        <v>1070</v>
      </c>
      <c r="H45" s="59"/>
    </row>
    <row r="46" spans="1:8" ht="36.75" customHeight="1">
      <c r="A46" s="58" t="s">
        <v>9</v>
      </c>
      <c r="B46" s="58"/>
      <c r="C46" s="58" t="s">
        <v>10</v>
      </c>
      <c r="D46" s="58" t="s">
        <v>220</v>
      </c>
      <c r="E46" s="58"/>
      <c r="F46" s="59" t="s">
        <v>1071</v>
      </c>
      <c r="G46" s="59" t="s">
        <v>1072</v>
      </c>
      <c r="H46" s="59"/>
    </row>
    <row r="47" spans="1:8" ht="63.95">
      <c r="A47" s="58" t="s">
        <v>9</v>
      </c>
      <c r="B47" s="58"/>
      <c r="C47" s="58" t="s">
        <v>10</v>
      </c>
      <c r="D47" s="58" t="s">
        <v>220</v>
      </c>
      <c r="E47" s="58"/>
      <c r="F47" s="59" t="s">
        <v>1073</v>
      </c>
      <c r="G47" s="59" t="s">
        <v>1074</v>
      </c>
      <c r="H47" s="59" t="s">
        <v>1075</v>
      </c>
    </row>
  </sheetData>
  <mergeCells count="8">
    <mergeCell ref="A39:H39"/>
    <mergeCell ref="A43:H43"/>
    <mergeCell ref="A2:H2"/>
    <mergeCell ref="A3:H3"/>
    <mergeCell ref="A5:H5"/>
    <mergeCell ref="A21:H21"/>
    <mergeCell ref="A28:H28"/>
    <mergeCell ref="A33:H33"/>
  </mergeCells>
  <dataValidations count="9">
    <dataValidation type="list" allowBlank="1" showInputMessage="1" showErrorMessage="1" sqref="G29" xr:uid="{AC9D8626-7A20-8649-955F-98A562EE799D}">
      <formula1>"Option A1,Option A2"</formula1>
    </dataValidation>
    <dataValidation type="list" allowBlank="1" showInputMessage="1" showErrorMessage="1" sqref="G30" xr:uid="{AB85EA11-8BE6-4844-97AC-6D043FFC844B}">
      <formula1>"Option 2.1,Option 2.2"</formula1>
    </dataValidation>
    <dataValidation type="list" allowBlank="1" showInputMessage="1" showErrorMessage="1" sqref="G31" xr:uid="{AE6604A9-CFB0-4849-99A6-2714AD53584E}">
      <formula1>"Yes,No"</formula1>
    </dataValidation>
    <dataValidation type="list" allowBlank="1" showInputMessage="1" showErrorMessage="1" sqref="G4" xr:uid="{C7869BF1-2EAE-B94B-8147-66D8C30B022C}">
      <formula1>"A: From the Grid,B: Off-Grid Captive Power Plants,C: From the Grid and Captive Power Plant"</formula1>
    </dataValidation>
    <dataValidation type="list" allowBlank="1" showInputMessage="1" showErrorMessage="1" sqref="G34" xr:uid="{ACA5B107-92E0-C24C-B02D-4E92F879574C}">
      <formula1>"Yes: Alternative Approach, No: Generic Approach"</formula1>
    </dataValidation>
    <dataValidation type="list" allowBlank="1" showInputMessage="1" showErrorMessage="1" sqref="G35" xr:uid="{5402F47B-01FE-3449-91E0-AF0BCCD033AF}">
      <formula1>"Monitored Data, Default Values"</formula1>
    </dataValidation>
    <dataValidation type="list" allowBlank="1" showInputMessage="1" showErrorMessage="1" sqref="G36" xr:uid="{391506F8-E9D8-7B48-876D-7A54E29C9216}">
      <formula1>"Heat Generation ignored,Fuel consumption between electricity and heat generation"</formula1>
    </dataValidation>
    <dataValidation type="list" allowBlank="1" showInputMessage="1" showErrorMessage="1" sqref="G40" xr:uid="{8D6E5758-D52F-C44B-909C-A16C7894F33C}">
      <formula1>"Option A,Option B"</formula1>
    </dataValidation>
    <dataValidation type="list" allowBlank="1" showInputMessage="1" showErrorMessage="1" sqref="G44" xr:uid="{311792A6-11C3-AC41-9CB5-89363C3DE38D}">
      <formula1>"Case 1,Case 2, Case 3"</formula1>
    </dataValidation>
  </dataValidations>
  <pageMargins left="0.7" right="0.7" top="0.75" bottom="0.75" header="0.3" footer="0.3"/>
  <legacyDrawing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7BB4B2-FE8E-2843-B4F8-98996D4B380D}">
  <dimension ref="A1:H40"/>
  <sheetViews>
    <sheetView topLeftCell="B27" workbookViewId="0">
      <selection activeCell="G34" sqref="G34"/>
    </sheetView>
  </sheetViews>
  <sheetFormatPr defaultColWidth="8.875" defaultRowHeight="15"/>
  <cols>
    <col min="1" max="1" width="12.375" style="7" bestFit="1" customWidth="1"/>
    <col min="2" max="2" width="13.125" style="7" bestFit="1" customWidth="1"/>
    <col min="3" max="3" width="11.625" style="7" bestFit="1" customWidth="1"/>
    <col min="4" max="4" width="14.375" style="7" customWidth="1"/>
    <col min="5" max="5" width="16" style="7" customWidth="1"/>
    <col min="6" max="6" width="70.125" style="7" customWidth="1"/>
    <col min="7" max="7" width="31" style="7" customWidth="1"/>
    <col min="8" max="8" width="58.125" style="7" customWidth="1"/>
    <col min="9" max="16384" width="8.875" style="7"/>
  </cols>
  <sheetData>
    <row r="1" spans="1:8" ht="39.950000000000003">
      <c r="A1" s="95" t="s">
        <v>0</v>
      </c>
      <c r="B1" s="95" t="s">
        <v>163</v>
      </c>
      <c r="C1" s="96" t="s">
        <v>164</v>
      </c>
      <c r="D1" s="95" t="s">
        <v>3</v>
      </c>
      <c r="E1" s="95" t="s">
        <v>5</v>
      </c>
      <c r="F1" s="96" t="s">
        <v>6</v>
      </c>
      <c r="G1" s="95" t="s">
        <v>7</v>
      </c>
      <c r="H1" s="95" t="s">
        <v>165</v>
      </c>
    </row>
    <row r="2" spans="1:8" ht="18.95">
      <c r="A2" s="240" t="s">
        <v>1076</v>
      </c>
      <c r="B2" s="240"/>
      <c r="C2" s="240"/>
      <c r="D2" s="240"/>
      <c r="E2" s="240"/>
      <c r="F2" s="240"/>
      <c r="G2" s="240"/>
      <c r="H2" s="240"/>
    </row>
    <row r="3" spans="1:8" ht="32.1">
      <c r="A3" s="10" t="s">
        <v>10</v>
      </c>
      <c r="B3" s="10"/>
      <c r="C3" s="10" t="s">
        <v>10</v>
      </c>
      <c r="D3" s="10" t="s">
        <v>284</v>
      </c>
      <c r="E3" s="195" t="s">
        <v>1043</v>
      </c>
      <c r="F3" s="12" t="s">
        <v>1077</v>
      </c>
      <c r="G3" s="17" t="e">
        <f>G7+G19+G31</f>
        <v>#N/A</v>
      </c>
      <c r="H3" s="196" t="s">
        <v>1078</v>
      </c>
    </row>
    <row r="4" spans="1:8" ht="32.1">
      <c r="A4" s="10" t="s">
        <v>10</v>
      </c>
      <c r="B4" s="10"/>
      <c r="C4" s="10" t="s">
        <v>10</v>
      </c>
      <c r="D4" s="10" t="s">
        <v>284</v>
      </c>
      <c r="E4" s="195" t="s">
        <v>1043</v>
      </c>
      <c r="F4" s="12" t="s">
        <v>273</v>
      </c>
      <c r="G4" s="17" t="e">
        <f>G8+G20+G32</f>
        <v>#N/A</v>
      </c>
      <c r="H4" s="147" t="s">
        <v>1079</v>
      </c>
    </row>
    <row r="5" spans="1:8" ht="18.95">
      <c r="A5" s="240" t="s">
        <v>281</v>
      </c>
      <c r="B5" s="240"/>
      <c r="C5" s="240"/>
      <c r="D5" s="240"/>
      <c r="E5" s="240"/>
      <c r="F5" s="240"/>
      <c r="G5" s="240"/>
      <c r="H5" s="240"/>
    </row>
    <row r="6" spans="1:8">
      <c r="A6" s="56" t="s">
        <v>9</v>
      </c>
      <c r="B6" s="56"/>
      <c r="C6" s="56" t="s">
        <v>9</v>
      </c>
      <c r="D6" s="56" t="s">
        <v>11</v>
      </c>
      <c r="E6" s="57"/>
      <c r="F6" s="56" t="s">
        <v>282</v>
      </c>
      <c r="G6" s="56" t="s">
        <v>283</v>
      </c>
    </row>
    <row r="7" spans="1:8" ht="32.1">
      <c r="A7" s="10" t="s">
        <v>10</v>
      </c>
      <c r="B7" s="10"/>
      <c r="C7" s="10" t="s">
        <v>10</v>
      </c>
      <c r="D7" s="10" t="s">
        <v>284</v>
      </c>
      <c r="E7" s="195" t="s">
        <v>1043</v>
      </c>
      <c r="F7" s="12" t="s">
        <v>1077</v>
      </c>
      <c r="G7" s="17" t="e">
        <f>(G12*G10*G11)/G13</f>
        <v>#N/A</v>
      </c>
      <c r="H7" s="10"/>
    </row>
    <row r="8" spans="1:8" ht="32.1">
      <c r="A8" s="10" t="s">
        <v>10</v>
      </c>
      <c r="B8" s="10"/>
      <c r="C8" s="10" t="s">
        <v>10</v>
      </c>
      <c r="D8" s="10" t="s">
        <v>284</v>
      </c>
      <c r="E8" s="195" t="s">
        <v>1043</v>
      </c>
      <c r="F8" s="12" t="s">
        <v>273</v>
      </c>
      <c r="G8" s="17" t="e">
        <f>ABS(((G12*G10)-(G14/G15))*G11)/G13</f>
        <v>#N/A</v>
      </c>
      <c r="H8" s="10"/>
    </row>
    <row r="9" spans="1:8" ht="15.95">
      <c r="A9" s="58" t="s">
        <v>9</v>
      </c>
      <c r="B9" s="58"/>
      <c r="C9" s="58" t="s">
        <v>10</v>
      </c>
      <c r="D9" s="58" t="s">
        <v>285</v>
      </c>
      <c r="E9" s="58"/>
      <c r="F9" s="59" t="s">
        <v>286</v>
      </c>
      <c r="G9" s="138" t="s">
        <v>306</v>
      </c>
      <c r="H9" s="58"/>
    </row>
    <row r="10" spans="1:8" ht="32.1">
      <c r="A10" s="10" t="s">
        <v>10</v>
      </c>
      <c r="B10" s="10"/>
      <c r="C10" s="10" t="s">
        <v>10</v>
      </c>
      <c r="D10" s="10" t="s">
        <v>284</v>
      </c>
      <c r="E10" s="197" t="s">
        <v>1080</v>
      </c>
      <c r="F10" s="12" t="s">
        <v>291</v>
      </c>
      <c r="G10" s="17" t="e">
        <f>IF(G9="","",VLOOKUP(G9,'[7]Tool 05.3 Default Values'!B4:D56,2,FALSE))</f>
        <v>#N/A</v>
      </c>
      <c r="H10" s="12" t="s">
        <v>1081</v>
      </c>
    </row>
    <row r="11" spans="1:8" ht="32.1">
      <c r="A11" s="10" t="s">
        <v>10</v>
      </c>
      <c r="B11" s="10"/>
      <c r="C11" s="10" t="s">
        <v>10</v>
      </c>
      <c r="D11" s="10" t="s">
        <v>284</v>
      </c>
      <c r="E11" s="197" t="s">
        <v>1082</v>
      </c>
      <c r="F11" s="12" t="s">
        <v>293</v>
      </c>
      <c r="G11" s="17" t="e">
        <f>IF(G9="","",VLOOKUP(G9,'[7]Tool 05.3 Default Values'!B4:D56,3,FALSE))*0.001</f>
        <v>#N/A</v>
      </c>
      <c r="H11" s="12" t="s">
        <v>1083</v>
      </c>
    </row>
    <row r="12" spans="1:8" ht="32.1">
      <c r="A12" s="7" t="s">
        <v>9</v>
      </c>
      <c r="C12" s="7" t="s">
        <v>9</v>
      </c>
      <c r="D12" s="7" t="s">
        <v>176</v>
      </c>
      <c r="E12" s="198" t="s">
        <v>1084</v>
      </c>
      <c r="F12" s="8" t="s">
        <v>289</v>
      </c>
      <c r="G12" s="9">
        <v>2</v>
      </c>
    </row>
    <row r="13" spans="1:8" ht="32.1">
      <c r="A13" s="7" t="s">
        <v>9</v>
      </c>
      <c r="C13" s="7" t="s">
        <v>9</v>
      </c>
      <c r="D13" s="7" t="s">
        <v>176</v>
      </c>
      <c r="E13" s="198" t="s">
        <v>1085</v>
      </c>
      <c r="F13" s="8" t="s">
        <v>295</v>
      </c>
      <c r="G13" s="9">
        <v>10000</v>
      </c>
    </row>
    <row r="14" spans="1:8" ht="48">
      <c r="A14" s="7" t="s">
        <v>9</v>
      </c>
      <c r="C14" s="7" t="s">
        <v>9</v>
      </c>
      <c r="D14" s="7" t="s">
        <v>176</v>
      </c>
      <c r="E14" s="198" t="s">
        <v>1086</v>
      </c>
      <c r="F14" s="8" t="s">
        <v>1087</v>
      </c>
      <c r="G14" s="9">
        <v>2</v>
      </c>
    </row>
    <row r="15" spans="1:8" ht="35.1">
      <c r="A15" s="10" t="s">
        <v>10</v>
      </c>
      <c r="B15" s="10"/>
      <c r="C15" s="10" t="s">
        <v>10</v>
      </c>
      <c r="D15" s="10" t="s">
        <v>284</v>
      </c>
      <c r="E15" s="146" t="s">
        <v>1088</v>
      </c>
      <c r="F15" s="12" t="s">
        <v>299</v>
      </c>
      <c r="G15" s="17">
        <v>1</v>
      </c>
      <c r="H15" s="10" t="s">
        <v>1089</v>
      </c>
    </row>
    <row r="16" spans="1:8" ht="35.1">
      <c r="A16" s="10" t="s">
        <v>10</v>
      </c>
      <c r="B16" s="10"/>
      <c r="C16" s="10" t="s">
        <v>10</v>
      </c>
      <c r="D16" s="10" t="s">
        <v>284</v>
      </c>
      <c r="E16" s="146" t="s">
        <v>1088</v>
      </c>
      <c r="F16" s="12" t="s">
        <v>300</v>
      </c>
      <c r="G16" s="17">
        <v>0.6</v>
      </c>
      <c r="H16" s="10" t="s">
        <v>1089</v>
      </c>
    </row>
    <row r="17" spans="1:8" ht="18.95">
      <c r="A17" s="240" t="s">
        <v>281</v>
      </c>
      <c r="B17" s="240"/>
      <c r="C17" s="240"/>
      <c r="D17" s="240"/>
      <c r="E17" s="240"/>
      <c r="F17" s="240"/>
      <c r="G17" s="240"/>
      <c r="H17" s="240"/>
    </row>
    <row r="18" spans="1:8">
      <c r="A18" s="56" t="s">
        <v>9</v>
      </c>
      <c r="B18" s="56"/>
      <c r="C18" s="56" t="s">
        <v>9</v>
      </c>
      <c r="D18" s="56" t="s">
        <v>11</v>
      </c>
      <c r="E18" s="57"/>
      <c r="F18" s="56" t="s">
        <v>282</v>
      </c>
      <c r="G18" s="56" t="s">
        <v>301</v>
      </c>
    </row>
    <row r="19" spans="1:8" ht="32.1">
      <c r="A19" s="10" t="s">
        <v>10</v>
      </c>
      <c r="B19" s="10"/>
      <c r="C19" s="10" t="s">
        <v>10</v>
      </c>
      <c r="D19" s="10" t="s">
        <v>284</v>
      </c>
      <c r="E19" s="195" t="s">
        <v>1043</v>
      </c>
      <c r="F19" s="12" t="s">
        <v>1077</v>
      </c>
      <c r="G19" s="17" t="e">
        <f>(G24*G22*G23)/G25</f>
        <v>#N/A</v>
      </c>
      <c r="H19" s="10"/>
    </row>
    <row r="20" spans="1:8" ht="32.1">
      <c r="A20" s="10" t="s">
        <v>10</v>
      </c>
      <c r="B20" s="10"/>
      <c r="C20" s="10" t="s">
        <v>10</v>
      </c>
      <c r="D20" s="10" t="s">
        <v>284</v>
      </c>
      <c r="E20" s="195" t="s">
        <v>1043</v>
      </c>
      <c r="F20" s="12" t="s">
        <v>273</v>
      </c>
      <c r="G20" s="17" t="e">
        <f>ABS(((G24*G22)-(G26/G27))*G23)/G25</f>
        <v>#N/A</v>
      </c>
      <c r="H20" s="10"/>
    </row>
    <row r="21" spans="1:8" ht="15.95">
      <c r="A21" s="58" t="s">
        <v>9</v>
      </c>
      <c r="B21" s="58"/>
      <c r="C21" s="58" t="s">
        <v>10</v>
      </c>
      <c r="D21" s="58" t="s">
        <v>285</v>
      </c>
      <c r="E21" s="58"/>
      <c r="F21" s="59" t="s">
        <v>286</v>
      </c>
      <c r="G21" s="138" t="s">
        <v>315</v>
      </c>
      <c r="H21" s="58"/>
    </row>
    <row r="22" spans="1:8" ht="32.1">
      <c r="A22" s="10" t="s">
        <v>10</v>
      </c>
      <c r="B22" s="10"/>
      <c r="C22" s="10" t="s">
        <v>10</v>
      </c>
      <c r="D22" s="10" t="s">
        <v>284</v>
      </c>
      <c r="E22" s="197" t="s">
        <v>1080</v>
      </c>
      <c r="F22" s="12" t="s">
        <v>291</v>
      </c>
      <c r="G22" s="17" t="e">
        <f>IF(G21="","",VLOOKUP(G21,'[7]Tool 05.3 Default Values'!B4:D56,2,FALSE))</f>
        <v>#N/A</v>
      </c>
      <c r="H22" s="12" t="s">
        <v>1081</v>
      </c>
    </row>
    <row r="23" spans="1:8" ht="32.1">
      <c r="A23" s="10" t="s">
        <v>10</v>
      </c>
      <c r="B23" s="10"/>
      <c r="C23" s="10" t="s">
        <v>10</v>
      </c>
      <c r="D23" s="10" t="s">
        <v>284</v>
      </c>
      <c r="E23" s="197" t="s">
        <v>1082</v>
      </c>
      <c r="F23" s="12" t="s">
        <v>293</v>
      </c>
      <c r="G23" s="17" t="e">
        <f>IF(G21="","",VLOOKUP(G21,'[7]Tool 05.3 Default Values'!B4:D56,3,FALSE))*0.001</f>
        <v>#N/A</v>
      </c>
      <c r="H23" s="12" t="s">
        <v>1083</v>
      </c>
    </row>
    <row r="24" spans="1:8" ht="32.1">
      <c r="A24" s="7" t="s">
        <v>9</v>
      </c>
      <c r="C24" s="7" t="s">
        <v>9</v>
      </c>
      <c r="D24" s="7" t="s">
        <v>176</v>
      </c>
      <c r="E24" s="198" t="s">
        <v>1084</v>
      </c>
      <c r="F24" s="8" t="s">
        <v>289</v>
      </c>
      <c r="G24" s="9">
        <v>2</v>
      </c>
    </row>
    <row r="25" spans="1:8" ht="32.1">
      <c r="A25" s="7" t="s">
        <v>9</v>
      </c>
      <c r="C25" s="7" t="s">
        <v>9</v>
      </c>
      <c r="D25" s="7" t="s">
        <v>176</v>
      </c>
      <c r="E25" s="198" t="s">
        <v>1085</v>
      </c>
      <c r="F25" s="8" t="s">
        <v>295</v>
      </c>
      <c r="G25" s="9">
        <v>10000</v>
      </c>
    </row>
    <row r="26" spans="1:8" ht="48">
      <c r="A26" s="7" t="s">
        <v>9</v>
      </c>
      <c r="C26" s="7" t="s">
        <v>9</v>
      </c>
      <c r="D26" s="7" t="s">
        <v>176</v>
      </c>
      <c r="E26" s="198" t="s">
        <v>1086</v>
      </c>
      <c r="F26" s="8" t="s">
        <v>1087</v>
      </c>
      <c r="G26" s="9">
        <v>2</v>
      </c>
    </row>
    <row r="27" spans="1:8" ht="35.1">
      <c r="A27" s="10" t="s">
        <v>10</v>
      </c>
      <c r="B27" s="10"/>
      <c r="C27" s="10" t="s">
        <v>10</v>
      </c>
      <c r="D27" s="10" t="s">
        <v>284</v>
      </c>
      <c r="E27" s="146" t="s">
        <v>1088</v>
      </c>
      <c r="F27" s="12" t="s">
        <v>299</v>
      </c>
      <c r="G27" s="17">
        <v>1</v>
      </c>
      <c r="H27" s="10" t="s">
        <v>1089</v>
      </c>
    </row>
    <row r="28" spans="1:8" ht="35.1">
      <c r="A28" s="10" t="s">
        <v>10</v>
      </c>
      <c r="B28" s="10"/>
      <c r="C28" s="10" t="s">
        <v>10</v>
      </c>
      <c r="D28" s="10" t="s">
        <v>284</v>
      </c>
      <c r="E28" s="146" t="s">
        <v>1088</v>
      </c>
      <c r="F28" s="12" t="s">
        <v>300</v>
      </c>
      <c r="G28" s="17">
        <v>0.6</v>
      </c>
      <c r="H28" s="10" t="s">
        <v>1089</v>
      </c>
    </row>
    <row r="29" spans="1:8" ht="18.95">
      <c r="A29" s="240" t="s">
        <v>281</v>
      </c>
      <c r="B29" s="240"/>
      <c r="C29" s="240"/>
      <c r="D29" s="240"/>
      <c r="E29" s="240"/>
      <c r="F29" s="240"/>
      <c r="G29" s="240"/>
      <c r="H29" s="240"/>
    </row>
    <row r="30" spans="1:8">
      <c r="A30" s="56" t="s">
        <v>9</v>
      </c>
      <c r="B30" s="56"/>
      <c r="C30" s="56" t="s">
        <v>9</v>
      </c>
      <c r="D30" s="56" t="s">
        <v>11</v>
      </c>
      <c r="E30" s="57"/>
      <c r="F30" s="56" t="s">
        <v>282</v>
      </c>
      <c r="G30" s="56" t="s">
        <v>1090</v>
      </c>
    </row>
    <row r="31" spans="1:8" ht="32.1">
      <c r="A31" s="10" t="s">
        <v>10</v>
      </c>
      <c r="B31" s="10"/>
      <c r="C31" s="10" t="s">
        <v>10</v>
      </c>
      <c r="D31" s="10" t="s">
        <v>284</v>
      </c>
      <c r="E31" s="195" t="s">
        <v>1043</v>
      </c>
      <c r="F31" s="12" t="s">
        <v>1077</v>
      </c>
      <c r="G31" s="17" t="e">
        <f>(G36*G34*G35)/G37</f>
        <v>#N/A</v>
      </c>
      <c r="H31" s="10"/>
    </row>
    <row r="32" spans="1:8" ht="32.1">
      <c r="A32" s="10" t="s">
        <v>10</v>
      </c>
      <c r="B32" s="10"/>
      <c r="C32" s="10" t="s">
        <v>10</v>
      </c>
      <c r="D32" s="10" t="s">
        <v>284</v>
      </c>
      <c r="E32" s="195" t="s">
        <v>1043</v>
      </c>
      <c r="F32" s="12" t="s">
        <v>273</v>
      </c>
      <c r="G32" s="17" t="e">
        <f>ABS(((G36*G34)-(G38/G39))*G35)/G37</f>
        <v>#N/A</v>
      </c>
      <c r="H32" s="10"/>
    </row>
    <row r="33" spans="1:8" ht="15.95">
      <c r="A33" s="58" t="s">
        <v>9</v>
      </c>
      <c r="B33" s="58"/>
      <c r="C33" s="58" t="s">
        <v>10</v>
      </c>
      <c r="D33" s="58" t="s">
        <v>285</v>
      </c>
      <c r="E33" s="58"/>
      <c r="F33" s="59" t="s">
        <v>286</v>
      </c>
      <c r="G33" s="138" t="s">
        <v>343</v>
      </c>
      <c r="H33" s="58"/>
    </row>
    <row r="34" spans="1:8" ht="32.1">
      <c r="A34" s="10" t="s">
        <v>10</v>
      </c>
      <c r="B34" s="10"/>
      <c r="C34" s="10" t="s">
        <v>10</v>
      </c>
      <c r="D34" s="10" t="s">
        <v>284</v>
      </c>
      <c r="E34" s="197" t="s">
        <v>1080</v>
      </c>
      <c r="F34" s="12" t="s">
        <v>291</v>
      </c>
      <c r="G34" s="17" t="e">
        <f>IF(G33="","",VLOOKUP(G33,'[7]Tool 05.3 Default Values'!B4:D56,2,FALSE))</f>
        <v>#N/A</v>
      </c>
      <c r="H34" s="12" t="s">
        <v>1081</v>
      </c>
    </row>
    <row r="35" spans="1:8" ht="32.1">
      <c r="A35" s="10" t="s">
        <v>10</v>
      </c>
      <c r="B35" s="10"/>
      <c r="C35" s="10" t="s">
        <v>10</v>
      </c>
      <c r="D35" s="10" t="s">
        <v>284</v>
      </c>
      <c r="E35" s="197" t="s">
        <v>1082</v>
      </c>
      <c r="F35" s="12" t="s">
        <v>293</v>
      </c>
      <c r="G35" s="17" t="e">
        <f>IF(G33="","",VLOOKUP(G33,'[7]Tool 05.3 Default Values'!B4:D56,3,FALSE))*0.001</f>
        <v>#N/A</v>
      </c>
      <c r="H35" s="12" t="s">
        <v>1083</v>
      </c>
    </row>
    <row r="36" spans="1:8" ht="32.1">
      <c r="A36" s="7" t="s">
        <v>9</v>
      </c>
      <c r="C36" s="7" t="s">
        <v>9</v>
      </c>
      <c r="D36" s="7" t="s">
        <v>176</v>
      </c>
      <c r="E36" s="198" t="s">
        <v>1084</v>
      </c>
      <c r="F36" s="8" t="s">
        <v>289</v>
      </c>
      <c r="G36" s="9">
        <v>2</v>
      </c>
    </row>
    <row r="37" spans="1:8" ht="32.1">
      <c r="A37" s="7" t="s">
        <v>9</v>
      </c>
      <c r="C37" s="7" t="s">
        <v>9</v>
      </c>
      <c r="D37" s="7" t="s">
        <v>176</v>
      </c>
      <c r="E37" s="198" t="s">
        <v>1085</v>
      </c>
      <c r="F37" s="8" t="s">
        <v>295</v>
      </c>
      <c r="G37" s="9">
        <v>10000</v>
      </c>
    </row>
    <row r="38" spans="1:8" ht="48">
      <c r="A38" s="7" t="s">
        <v>9</v>
      </c>
      <c r="C38" s="7" t="s">
        <v>9</v>
      </c>
      <c r="D38" s="7" t="s">
        <v>176</v>
      </c>
      <c r="E38" s="198" t="s">
        <v>1086</v>
      </c>
      <c r="F38" s="8" t="s">
        <v>1087</v>
      </c>
      <c r="G38" s="9">
        <v>2</v>
      </c>
    </row>
    <row r="39" spans="1:8" ht="35.1">
      <c r="A39" s="10" t="s">
        <v>10</v>
      </c>
      <c r="B39" s="10"/>
      <c r="C39" s="10" t="s">
        <v>10</v>
      </c>
      <c r="D39" s="10" t="s">
        <v>284</v>
      </c>
      <c r="E39" s="146" t="s">
        <v>1088</v>
      </c>
      <c r="F39" s="12" t="s">
        <v>299</v>
      </c>
      <c r="G39" s="17">
        <v>1</v>
      </c>
      <c r="H39" s="10" t="s">
        <v>1089</v>
      </c>
    </row>
    <row r="40" spans="1:8" ht="35.1">
      <c r="A40" s="10" t="s">
        <v>10</v>
      </c>
      <c r="B40" s="10"/>
      <c r="C40" s="10" t="s">
        <v>10</v>
      </c>
      <c r="D40" s="10" t="s">
        <v>284</v>
      </c>
      <c r="E40" s="146" t="s">
        <v>1088</v>
      </c>
      <c r="F40" s="12" t="s">
        <v>300</v>
      </c>
      <c r="G40" s="17">
        <v>0.6</v>
      </c>
      <c r="H40" s="10" t="s">
        <v>1089</v>
      </c>
    </row>
  </sheetData>
  <mergeCells count="4">
    <mergeCell ref="A2:H2"/>
    <mergeCell ref="A5:H5"/>
    <mergeCell ref="A17:H17"/>
    <mergeCell ref="A29:H29"/>
  </mergeCells>
  <pageMargins left="0.7" right="0.7" top="0.75" bottom="0.75" header="0.3" footer="0.3"/>
  <legacyDrawing r:id="rId1"/>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B075-7756-9249-AFDE-BD7C1A98126A}">
  <dimension ref="B1:D56"/>
  <sheetViews>
    <sheetView workbookViewId="0">
      <selection activeCell="F11" sqref="F11"/>
    </sheetView>
  </sheetViews>
  <sheetFormatPr defaultColWidth="8.875" defaultRowHeight="15"/>
  <cols>
    <col min="1" max="1" width="8.875" style="7"/>
    <col min="2" max="2" width="33.875" style="7" bestFit="1" customWidth="1"/>
    <col min="3" max="3" width="20.625" style="7" customWidth="1"/>
    <col min="4" max="4" width="40.5" style="7" customWidth="1"/>
    <col min="5" max="16384" width="8.875" style="7"/>
  </cols>
  <sheetData>
    <row r="1" spans="2:4" ht="15.95" thickBot="1"/>
    <row r="2" spans="2:4" ht="20.100000000000001" thickBot="1">
      <c r="B2" s="238" t="s">
        <v>1091</v>
      </c>
      <c r="C2" s="248"/>
      <c r="D2" s="239"/>
    </row>
    <row r="3" spans="2:4" ht="35.1" thickBot="1">
      <c r="B3" s="199" t="s">
        <v>304</v>
      </c>
      <c r="C3" s="200" t="s">
        <v>1092</v>
      </c>
      <c r="D3" s="200" t="s">
        <v>1093</v>
      </c>
    </row>
    <row r="4" spans="2:4" ht="15.95">
      <c r="B4" s="201" t="s">
        <v>306</v>
      </c>
      <c r="C4" s="202">
        <v>40.1</v>
      </c>
      <c r="D4" s="203">
        <v>75500</v>
      </c>
    </row>
    <row r="5" spans="2:4" ht="15.95">
      <c r="B5" s="183" t="s">
        <v>307</v>
      </c>
      <c r="C5" s="204">
        <v>27.5</v>
      </c>
      <c r="D5" s="205">
        <v>85400</v>
      </c>
    </row>
    <row r="6" spans="2:4" ht="15.95">
      <c r="B6" s="183" t="s">
        <v>308</v>
      </c>
      <c r="C6" s="204">
        <v>40.9</v>
      </c>
      <c r="D6" s="205">
        <v>70400</v>
      </c>
    </row>
    <row r="7" spans="2:4" ht="15.95">
      <c r="B7" s="183" t="s">
        <v>309</v>
      </c>
      <c r="C7" s="204">
        <v>42.5</v>
      </c>
      <c r="D7" s="205">
        <v>73000</v>
      </c>
    </row>
    <row r="8" spans="2:4" ht="15.95">
      <c r="B8" s="183" t="s">
        <v>310</v>
      </c>
      <c r="C8" s="204">
        <v>42.5</v>
      </c>
      <c r="D8" s="205">
        <v>73000</v>
      </c>
    </row>
    <row r="9" spans="2:4" ht="15.95">
      <c r="B9" s="183" t="s">
        <v>311</v>
      </c>
      <c r="C9" s="204">
        <v>42.5</v>
      </c>
      <c r="D9" s="205">
        <v>73000</v>
      </c>
    </row>
    <row r="10" spans="2:4" ht="15.95">
      <c r="B10" s="183" t="s">
        <v>312</v>
      </c>
      <c r="C10" s="204">
        <v>42</v>
      </c>
      <c r="D10" s="205">
        <v>74400</v>
      </c>
    </row>
    <row r="11" spans="2:4" ht="15.95">
      <c r="B11" s="183" t="s">
        <v>313</v>
      </c>
      <c r="C11" s="204">
        <v>42.4</v>
      </c>
      <c r="D11" s="205">
        <v>73700</v>
      </c>
    </row>
    <row r="12" spans="2:4" ht="15.95">
      <c r="B12" s="183" t="s">
        <v>314</v>
      </c>
      <c r="C12" s="204">
        <v>32.1</v>
      </c>
      <c r="D12" s="205">
        <v>79200</v>
      </c>
    </row>
    <row r="13" spans="2:4" ht="15.95">
      <c r="B13" s="183" t="s">
        <v>315</v>
      </c>
      <c r="C13" s="204">
        <v>41.4</v>
      </c>
      <c r="D13" s="205">
        <v>74800</v>
      </c>
    </row>
    <row r="14" spans="2:4" ht="15.95">
      <c r="B14" s="183" t="s">
        <v>316</v>
      </c>
      <c r="C14" s="204">
        <v>39.799999999999997</v>
      </c>
      <c r="D14" s="205">
        <v>78800</v>
      </c>
    </row>
    <row r="15" spans="2:4" ht="15.95">
      <c r="B15" s="183" t="s">
        <v>317</v>
      </c>
      <c r="C15" s="204">
        <v>44.8</v>
      </c>
      <c r="D15" s="205">
        <v>65600</v>
      </c>
    </row>
    <row r="16" spans="2:4" ht="15.95">
      <c r="B16" s="183" t="s">
        <v>318</v>
      </c>
      <c r="C16" s="204">
        <v>44.9</v>
      </c>
      <c r="D16" s="205">
        <v>68600</v>
      </c>
    </row>
    <row r="17" spans="2:4" ht="15.95">
      <c r="B17" s="183" t="s">
        <v>319</v>
      </c>
      <c r="C17" s="204">
        <v>41.8</v>
      </c>
      <c r="D17" s="205">
        <v>76300</v>
      </c>
    </row>
    <row r="18" spans="2:4" ht="15.95">
      <c r="B18" s="183" t="s">
        <v>320</v>
      </c>
      <c r="C18" s="204">
        <v>33.5</v>
      </c>
      <c r="D18" s="205">
        <v>89900</v>
      </c>
    </row>
    <row r="19" spans="2:4" ht="15.95">
      <c r="B19" s="183" t="s">
        <v>321</v>
      </c>
      <c r="C19" s="204">
        <v>33.5</v>
      </c>
      <c r="D19" s="205">
        <v>75200</v>
      </c>
    </row>
    <row r="20" spans="2:4" ht="15.95">
      <c r="B20" s="183" t="s">
        <v>322</v>
      </c>
      <c r="C20" s="204">
        <v>29.7</v>
      </c>
      <c r="D20" s="205">
        <v>115000</v>
      </c>
    </row>
    <row r="21" spans="2:4" ht="15.95">
      <c r="B21" s="183" t="s">
        <v>323</v>
      </c>
      <c r="C21" s="204">
        <v>36.299999999999997</v>
      </c>
      <c r="D21" s="205">
        <v>76600</v>
      </c>
    </row>
    <row r="22" spans="2:4" ht="15.95">
      <c r="B22" s="183" t="s">
        <v>324</v>
      </c>
      <c r="C22" s="204">
        <v>47.5</v>
      </c>
      <c r="D22" s="205">
        <v>69000</v>
      </c>
    </row>
    <row r="23" spans="2:4" ht="15.95">
      <c r="B23" s="183" t="s">
        <v>325</v>
      </c>
      <c r="C23" s="204">
        <v>33.700000000000003</v>
      </c>
      <c r="D23" s="205">
        <v>74400</v>
      </c>
    </row>
    <row r="24" spans="2:4" ht="15.95">
      <c r="B24" s="183" t="s">
        <v>326</v>
      </c>
      <c r="C24" s="204">
        <v>33.700000000000003</v>
      </c>
      <c r="D24" s="205">
        <v>74400</v>
      </c>
    </row>
    <row r="25" spans="2:4" ht="15.95">
      <c r="B25" s="183" t="s">
        <v>327</v>
      </c>
      <c r="C25" s="204">
        <v>33.700000000000003</v>
      </c>
      <c r="D25" s="205">
        <v>74400</v>
      </c>
    </row>
    <row r="26" spans="2:4" ht="15.95">
      <c r="B26" s="183" t="s">
        <v>328</v>
      </c>
      <c r="C26" s="204">
        <v>21.6</v>
      </c>
      <c r="D26" s="205">
        <v>101000</v>
      </c>
    </row>
    <row r="27" spans="2:4" ht="15.95">
      <c r="B27" s="183" t="s">
        <v>329</v>
      </c>
      <c r="C27" s="204">
        <v>24</v>
      </c>
      <c r="D27" s="205">
        <v>101000</v>
      </c>
    </row>
    <row r="28" spans="2:4" ht="15.95">
      <c r="B28" s="183" t="s">
        <v>330</v>
      </c>
      <c r="C28" s="204">
        <v>19.899999999999999</v>
      </c>
      <c r="D28" s="205">
        <v>99700</v>
      </c>
    </row>
    <row r="29" spans="2:4" ht="15.95">
      <c r="B29" s="183" t="s">
        <v>331</v>
      </c>
      <c r="C29" s="204">
        <v>11.5</v>
      </c>
      <c r="D29" s="205">
        <v>100000</v>
      </c>
    </row>
    <row r="30" spans="2:4" ht="15.95">
      <c r="B30" s="183" t="s">
        <v>332</v>
      </c>
      <c r="C30" s="204">
        <v>5.5</v>
      </c>
      <c r="D30" s="205">
        <v>115000</v>
      </c>
    </row>
    <row r="31" spans="2:4" ht="15.95">
      <c r="B31" s="183" t="s">
        <v>333</v>
      </c>
      <c r="C31" s="204">
        <v>7.1</v>
      </c>
      <c r="D31" s="205">
        <v>125000</v>
      </c>
    </row>
    <row r="32" spans="2:4" ht="15.95">
      <c r="B32" s="183" t="s">
        <v>334</v>
      </c>
      <c r="C32" s="204">
        <v>15.1</v>
      </c>
      <c r="D32" s="205">
        <v>109000</v>
      </c>
    </row>
    <row r="33" spans="2:4" ht="15.95">
      <c r="B33" s="183" t="s">
        <v>335</v>
      </c>
      <c r="C33" s="204">
        <v>15.1</v>
      </c>
      <c r="D33" s="205">
        <v>109000</v>
      </c>
    </row>
    <row r="34" spans="2:4" ht="15.95">
      <c r="B34" s="183" t="s">
        <v>336</v>
      </c>
      <c r="C34" s="204">
        <v>25.1</v>
      </c>
      <c r="D34" s="205">
        <v>119000</v>
      </c>
    </row>
    <row r="35" spans="2:4" ht="15.95">
      <c r="B35" s="183" t="s">
        <v>337</v>
      </c>
      <c r="C35" s="204">
        <v>25.1</v>
      </c>
      <c r="D35" s="205">
        <v>119000</v>
      </c>
    </row>
    <row r="36" spans="2:4" ht="15.95">
      <c r="B36" s="183" t="s">
        <v>338</v>
      </c>
      <c r="C36" s="204">
        <v>14.1</v>
      </c>
      <c r="D36" s="205">
        <v>95300</v>
      </c>
    </row>
    <row r="37" spans="2:4" ht="15.95">
      <c r="B37" s="183" t="s">
        <v>339</v>
      </c>
      <c r="C37" s="204">
        <v>19.600000000000001</v>
      </c>
      <c r="D37" s="205">
        <v>54100</v>
      </c>
    </row>
    <row r="38" spans="2:4" ht="15.95">
      <c r="B38" s="183" t="s">
        <v>340</v>
      </c>
      <c r="C38" s="204">
        <v>19.600000000000001</v>
      </c>
      <c r="D38" s="205">
        <v>54100</v>
      </c>
    </row>
    <row r="39" spans="2:4" ht="15.95">
      <c r="B39" s="183" t="s">
        <v>341</v>
      </c>
      <c r="C39" s="204">
        <v>1.2</v>
      </c>
      <c r="D39" s="205">
        <v>308000</v>
      </c>
    </row>
    <row r="40" spans="2:4" ht="15.95">
      <c r="B40" s="183" t="s">
        <v>342</v>
      </c>
      <c r="C40" s="204">
        <v>3.8</v>
      </c>
      <c r="D40" s="205">
        <v>202000</v>
      </c>
    </row>
    <row r="41" spans="2:4" ht="15.95">
      <c r="B41" s="183" t="s">
        <v>343</v>
      </c>
      <c r="C41" s="204">
        <v>46.5</v>
      </c>
      <c r="D41" s="205">
        <v>58300</v>
      </c>
    </row>
    <row r="42" spans="2:4" ht="15.95">
      <c r="B42" s="185" t="s">
        <v>344</v>
      </c>
      <c r="C42" s="204">
        <v>7</v>
      </c>
      <c r="D42" s="205">
        <v>121000</v>
      </c>
    </row>
    <row r="43" spans="2:4" ht="15.95">
      <c r="B43" s="183" t="s">
        <v>345</v>
      </c>
      <c r="C43" s="204">
        <v>20.3</v>
      </c>
      <c r="D43" s="205">
        <v>74400</v>
      </c>
    </row>
    <row r="44" spans="2:4" ht="15.95">
      <c r="B44" s="183" t="s">
        <v>346</v>
      </c>
      <c r="C44" s="204">
        <v>7.8</v>
      </c>
      <c r="D44" s="205">
        <v>108000</v>
      </c>
    </row>
    <row r="45" spans="2:4" ht="15.95">
      <c r="B45" s="183" t="s">
        <v>347</v>
      </c>
      <c r="C45" s="204">
        <v>7.9</v>
      </c>
      <c r="D45" s="205">
        <v>132000</v>
      </c>
    </row>
    <row r="46" spans="2:4" ht="15.95">
      <c r="B46" s="183" t="s">
        <v>348</v>
      </c>
      <c r="C46" s="204">
        <v>5.9</v>
      </c>
      <c r="D46" s="205">
        <v>110000</v>
      </c>
    </row>
    <row r="47" spans="2:4" ht="15.95">
      <c r="B47" s="183" t="s">
        <v>349</v>
      </c>
      <c r="C47" s="204">
        <v>5.9</v>
      </c>
      <c r="D47" s="205">
        <v>117000</v>
      </c>
    </row>
    <row r="48" spans="2:4" ht="15.95">
      <c r="B48" s="183" t="s">
        <v>350</v>
      </c>
      <c r="C48" s="204">
        <v>14.9</v>
      </c>
      <c r="D48" s="205">
        <v>132000</v>
      </c>
    </row>
    <row r="49" spans="2:4" ht="15.95">
      <c r="B49" s="183" t="s">
        <v>351</v>
      </c>
      <c r="C49" s="204">
        <v>13.6</v>
      </c>
      <c r="D49" s="205">
        <v>84300</v>
      </c>
    </row>
    <row r="50" spans="2:4" ht="15.95">
      <c r="B50" s="183" t="s">
        <v>352</v>
      </c>
      <c r="C50" s="204">
        <v>13.6</v>
      </c>
      <c r="D50" s="205">
        <v>84300</v>
      </c>
    </row>
    <row r="51" spans="2:4" ht="15.95">
      <c r="B51" s="183" t="s">
        <v>353</v>
      </c>
      <c r="C51" s="204">
        <v>13.8</v>
      </c>
      <c r="D51" s="205">
        <v>95300</v>
      </c>
    </row>
    <row r="52" spans="2:4" ht="15.95">
      <c r="B52" s="183" t="s">
        <v>354</v>
      </c>
      <c r="C52" s="204">
        <v>25.4</v>
      </c>
      <c r="D52" s="205">
        <v>66000</v>
      </c>
    </row>
    <row r="53" spans="2:4" ht="15.95">
      <c r="B53" s="183" t="s">
        <v>355</v>
      </c>
      <c r="C53" s="204">
        <v>25.4</v>
      </c>
      <c r="D53" s="205">
        <v>66000</v>
      </c>
    </row>
    <row r="54" spans="2:4" ht="15.95">
      <c r="B54" s="183" t="s">
        <v>356</v>
      </c>
      <c r="C54" s="204">
        <v>25.4</v>
      </c>
      <c r="D54" s="205">
        <v>66000</v>
      </c>
    </row>
    <row r="55" spans="2:4" ht="15.95">
      <c r="B55" s="183" t="s">
        <v>357</v>
      </c>
      <c r="C55" s="204">
        <v>6.8</v>
      </c>
      <c r="D55" s="205">
        <v>117000</v>
      </c>
    </row>
    <row r="56" spans="2:4" ht="17.100000000000001" thickBot="1">
      <c r="B56" s="186" t="s">
        <v>360</v>
      </c>
      <c r="C56" s="206" t="s">
        <v>12</v>
      </c>
      <c r="D56" s="207">
        <v>183000</v>
      </c>
    </row>
  </sheetData>
  <mergeCells count="1">
    <mergeCell ref="B2:D2"/>
  </mergeCells>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9CEFF6-D085-974A-BD59-8F554B3663D4}">
  <dimension ref="A1:F82"/>
  <sheetViews>
    <sheetView workbookViewId="0">
      <selection activeCell="B10" sqref="B10"/>
    </sheetView>
  </sheetViews>
  <sheetFormatPr defaultColWidth="8.875" defaultRowHeight="15"/>
  <cols>
    <col min="1" max="1" width="18.125" style="7" bestFit="1" customWidth="1"/>
    <col min="2" max="2" width="16.125" style="7" bestFit="1" customWidth="1"/>
    <col min="3" max="3" width="16.125" style="7" customWidth="1"/>
    <col min="4" max="4" width="34" style="7" customWidth="1"/>
    <col min="5" max="5" width="29.375" style="7" bestFit="1" customWidth="1"/>
    <col min="6" max="6" width="83" style="7" customWidth="1"/>
    <col min="7" max="16384" width="8.875" style="7"/>
  </cols>
  <sheetData>
    <row r="1" spans="1:6" ht="18.95">
      <c r="A1" s="52" t="s">
        <v>0</v>
      </c>
      <c r="B1" s="52" t="s">
        <v>3</v>
      </c>
      <c r="C1" s="52" t="s">
        <v>5</v>
      </c>
      <c r="D1" s="53" t="s">
        <v>6</v>
      </c>
      <c r="E1" s="53" t="s">
        <v>2</v>
      </c>
      <c r="F1" s="52" t="s">
        <v>7</v>
      </c>
    </row>
    <row r="2" spans="1:6" s="6" customFormat="1" ht="18.95">
      <c r="A2" s="54"/>
      <c r="B2" s="55"/>
      <c r="C2" s="55"/>
      <c r="D2" s="54" t="s">
        <v>1094</v>
      </c>
      <c r="E2" s="55"/>
      <c r="F2" s="55"/>
    </row>
    <row r="3" spans="1:6" s="58" customFormat="1" ht="33">
      <c r="A3" s="208" t="s">
        <v>9</v>
      </c>
      <c r="B3" s="208" t="s">
        <v>220</v>
      </c>
      <c r="C3" s="209"/>
      <c r="D3" s="210" t="s">
        <v>1095</v>
      </c>
      <c r="E3" s="211" t="s">
        <v>10</v>
      </c>
      <c r="F3" s="145" t="s">
        <v>1096</v>
      </c>
    </row>
    <row r="4" spans="1:6" s="58" customFormat="1" ht="48.95">
      <c r="A4" s="208" t="s">
        <v>9</v>
      </c>
      <c r="B4" s="208" t="s">
        <v>217</v>
      </c>
      <c r="C4" s="209"/>
      <c r="D4" s="210" t="s">
        <v>1097</v>
      </c>
      <c r="E4" s="211" t="s">
        <v>10</v>
      </c>
      <c r="F4" s="145" t="s">
        <v>1098</v>
      </c>
    </row>
    <row r="5" spans="1:6" s="6" customFormat="1" ht="18.95">
      <c r="A5" s="54"/>
      <c r="B5" s="55"/>
      <c r="C5" s="55"/>
      <c r="D5" s="54" t="s">
        <v>923</v>
      </c>
      <c r="E5" s="55"/>
      <c r="F5" s="55"/>
    </row>
    <row r="6" spans="1:6" s="58" customFormat="1" ht="65.099999999999994">
      <c r="A6" s="208" t="s">
        <v>9</v>
      </c>
      <c r="B6" s="208" t="s">
        <v>220</v>
      </c>
      <c r="C6" s="209"/>
      <c r="D6" s="210" t="s">
        <v>1099</v>
      </c>
      <c r="E6" s="211" t="s">
        <v>10</v>
      </c>
      <c r="F6" s="145" t="s">
        <v>1100</v>
      </c>
    </row>
    <row r="7" spans="1:6" s="58" customFormat="1" ht="48.95">
      <c r="A7" s="208" t="s">
        <v>9</v>
      </c>
      <c r="B7" s="208" t="s">
        <v>220</v>
      </c>
      <c r="C7" s="209"/>
      <c r="D7" s="210" t="s">
        <v>1101</v>
      </c>
      <c r="E7" s="211" t="s">
        <v>10</v>
      </c>
      <c r="F7" s="145" t="s">
        <v>1102</v>
      </c>
    </row>
    <row r="8" spans="1:6" s="58" customFormat="1" ht="65.099999999999994">
      <c r="A8" s="208" t="s">
        <v>9</v>
      </c>
      <c r="B8" s="208" t="s">
        <v>217</v>
      </c>
      <c r="C8" s="209"/>
      <c r="D8" s="210" t="s">
        <v>1103</v>
      </c>
      <c r="E8" s="211" t="s">
        <v>10</v>
      </c>
      <c r="F8" s="145" t="s">
        <v>1104</v>
      </c>
    </row>
    <row r="9" spans="1:6" s="6" customFormat="1" ht="18.95">
      <c r="A9" s="54"/>
      <c r="B9" s="55"/>
      <c r="C9" s="55"/>
      <c r="D9" s="54" t="s">
        <v>1105</v>
      </c>
      <c r="E9" s="55"/>
      <c r="F9" s="55"/>
    </row>
    <row r="10" spans="1:6" s="58" customFormat="1" ht="48.95">
      <c r="A10" s="208" t="s">
        <v>9</v>
      </c>
      <c r="B10" s="208" t="s">
        <v>217</v>
      </c>
      <c r="C10" s="209"/>
      <c r="D10" s="210" t="s">
        <v>1106</v>
      </c>
      <c r="E10" s="211" t="s">
        <v>10</v>
      </c>
      <c r="F10" s="145" t="s">
        <v>1107</v>
      </c>
    </row>
    <row r="11" spans="1:6" s="58" customFormat="1" ht="65.099999999999994">
      <c r="A11" s="208" t="s">
        <v>9</v>
      </c>
      <c r="B11" s="208" t="s">
        <v>217</v>
      </c>
      <c r="C11" s="209"/>
      <c r="D11" s="210" t="s">
        <v>1108</v>
      </c>
      <c r="E11" s="211" t="s">
        <v>10</v>
      </c>
      <c r="F11" s="145" t="s">
        <v>1109</v>
      </c>
    </row>
    <row r="12" spans="1:6" s="6" customFormat="1" ht="18.95">
      <c r="A12" s="54"/>
      <c r="B12" s="55"/>
      <c r="C12" s="55"/>
      <c r="D12" s="54" t="s">
        <v>1110</v>
      </c>
      <c r="E12" s="55"/>
      <c r="F12" s="55"/>
    </row>
    <row r="13" spans="1:6" s="10" customFormat="1" ht="32.1">
      <c r="A13" s="10" t="s">
        <v>10</v>
      </c>
      <c r="B13" s="10" t="s">
        <v>88</v>
      </c>
      <c r="C13" s="10" t="s">
        <v>1111</v>
      </c>
      <c r="D13" s="12" t="s">
        <v>1112</v>
      </c>
      <c r="E13" s="12" t="s">
        <v>10</v>
      </c>
      <c r="F13" s="17" t="e">
        <f>F14+F15+F16+F17</f>
        <v>#VALUE!</v>
      </c>
    </row>
    <row r="14" spans="1:6" s="10" customFormat="1" ht="48">
      <c r="A14" s="10" t="s">
        <v>10</v>
      </c>
      <c r="B14" s="10" t="s">
        <v>220</v>
      </c>
      <c r="C14" s="10" t="s">
        <v>1113</v>
      </c>
      <c r="D14" s="12" t="s">
        <v>1114</v>
      </c>
      <c r="E14" s="12" t="s">
        <v>10</v>
      </c>
      <c r="F14" s="17" t="s">
        <v>1115</v>
      </c>
    </row>
    <row r="15" spans="1:6" s="10" customFormat="1" ht="48">
      <c r="A15" s="10" t="s">
        <v>10</v>
      </c>
      <c r="B15" s="10" t="s">
        <v>88</v>
      </c>
      <c r="C15" s="10" t="s">
        <v>930</v>
      </c>
      <c r="D15" s="12" t="s">
        <v>1116</v>
      </c>
      <c r="E15" s="12" t="s">
        <v>10</v>
      </c>
      <c r="F15" s="17" t="str">
        <f>F54</f>
        <v>Comes from Tool 03</v>
      </c>
    </row>
    <row r="16" spans="1:6" s="10" customFormat="1" ht="32.1">
      <c r="A16" s="10" t="s">
        <v>10</v>
      </c>
      <c r="B16" s="10" t="s">
        <v>88</v>
      </c>
      <c r="C16" s="10" t="s">
        <v>938</v>
      </c>
      <c r="D16" s="12" t="s">
        <v>1117</v>
      </c>
      <c r="E16" s="12" t="s">
        <v>10</v>
      </c>
      <c r="F16" s="17" t="e">
        <f>F56</f>
        <v>#VALUE!</v>
      </c>
    </row>
    <row r="17" spans="1:6" s="10" customFormat="1" ht="32.1">
      <c r="A17" s="10" t="s">
        <v>10</v>
      </c>
      <c r="B17" s="10" t="s">
        <v>88</v>
      </c>
      <c r="C17" s="10" t="s">
        <v>1118</v>
      </c>
      <c r="D17" s="12" t="s">
        <v>1119</v>
      </c>
      <c r="E17" s="12" t="s">
        <v>10</v>
      </c>
      <c r="F17" s="17" t="str">
        <f>F61</f>
        <v>Comes from Tool 06</v>
      </c>
    </row>
    <row r="18" spans="1:6" s="6" customFormat="1" ht="18.95">
      <c r="A18" s="54"/>
      <c r="B18" s="55"/>
      <c r="C18" s="55"/>
      <c r="D18" s="54" t="s">
        <v>1120</v>
      </c>
      <c r="E18" s="55"/>
      <c r="F18" s="55"/>
    </row>
    <row r="19" spans="1:6" s="10" customFormat="1" ht="32.1">
      <c r="A19" s="10" t="s">
        <v>10</v>
      </c>
      <c r="B19" s="10" t="s">
        <v>88</v>
      </c>
      <c r="C19" s="10" t="s">
        <v>1121</v>
      </c>
      <c r="D19" s="12" t="s">
        <v>1122</v>
      </c>
      <c r="E19" s="10" t="s">
        <v>10</v>
      </c>
      <c r="F19" s="17">
        <f>(F20*F23)/((F22-F20)*F24)</f>
        <v>1.123142144638404</v>
      </c>
    </row>
    <row r="20" spans="1:6" ht="32.1">
      <c r="A20" s="7" t="s">
        <v>9</v>
      </c>
      <c r="B20" s="7" t="s">
        <v>176</v>
      </c>
      <c r="C20" s="7" t="s">
        <v>1123</v>
      </c>
      <c r="D20" s="8" t="s">
        <v>1124</v>
      </c>
      <c r="E20" s="8" t="s">
        <v>9</v>
      </c>
      <c r="F20" s="9">
        <v>1</v>
      </c>
    </row>
    <row r="21" spans="1:6" ht="32.1">
      <c r="A21" s="7" t="s">
        <v>9</v>
      </c>
      <c r="B21" s="7" t="s">
        <v>176</v>
      </c>
      <c r="C21" s="7" t="s">
        <v>1125</v>
      </c>
      <c r="D21" s="8" t="s">
        <v>1126</v>
      </c>
      <c r="E21" s="8" t="s">
        <v>9</v>
      </c>
      <c r="F21" s="9">
        <v>1</v>
      </c>
    </row>
    <row r="22" spans="1:6" ht="32.1">
      <c r="A22" s="7" t="s">
        <v>9</v>
      </c>
      <c r="B22" s="7" t="s">
        <v>176</v>
      </c>
      <c r="C22" s="7" t="s">
        <v>1127</v>
      </c>
      <c r="D22" s="8" t="s">
        <v>1128</v>
      </c>
      <c r="E22" s="8" t="s">
        <v>9</v>
      </c>
      <c r="F22" s="9">
        <v>2</v>
      </c>
    </row>
    <row r="23" spans="1:6" s="10" customFormat="1" ht="15.95">
      <c r="A23" s="10" t="s">
        <v>10</v>
      </c>
      <c r="B23" s="10" t="s">
        <v>88</v>
      </c>
      <c r="C23" s="10" t="s">
        <v>1129</v>
      </c>
      <c r="D23" s="12" t="s">
        <v>1130</v>
      </c>
      <c r="E23" s="10" t="s">
        <v>10</v>
      </c>
      <c r="F23" s="17">
        <f>18.0152</f>
        <v>18.0152</v>
      </c>
    </row>
    <row r="24" spans="1:6" s="10" customFormat="1" ht="48">
      <c r="A24" s="10" t="s">
        <v>10</v>
      </c>
      <c r="B24" s="10" t="s">
        <v>88</v>
      </c>
      <c r="C24" s="10" t="s">
        <v>1131</v>
      </c>
      <c r="D24" s="12" t="s">
        <v>1132</v>
      </c>
      <c r="E24" s="10" t="s">
        <v>10</v>
      </c>
      <c r="F24" s="17">
        <f>SUM(F25*F26)</f>
        <v>16.04</v>
      </c>
    </row>
    <row r="25" spans="1:6" ht="47.25" customHeight="1">
      <c r="A25" s="7" t="s">
        <v>9</v>
      </c>
      <c r="B25" s="7" t="s">
        <v>176</v>
      </c>
      <c r="C25" s="7" t="s">
        <v>1133</v>
      </c>
      <c r="D25" s="8" t="s">
        <v>1134</v>
      </c>
      <c r="E25" s="8" t="s">
        <v>9</v>
      </c>
      <c r="F25" s="9">
        <v>1</v>
      </c>
    </row>
    <row r="26" spans="1:6" s="10" customFormat="1">
      <c r="A26" s="10" t="s">
        <v>10</v>
      </c>
      <c r="B26" s="10" t="s">
        <v>88</v>
      </c>
      <c r="C26" s="10" t="s">
        <v>1135</v>
      </c>
      <c r="D26" s="10" t="s">
        <v>1136</v>
      </c>
      <c r="E26" s="10" t="s">
        <v>10</v>
      </c>
      <c r="F26" s="17">
        <f>16.04</f>
        <v>16.04</v>
      </c>
    </row>
    <row r="27" spans="1:6" s="10" customFormat="1" ht="32.1">
      <c r="A27" s="10" t="s">
        <v>10</v>
      </c>
      <c r="B27" s="10" t="s">
        <v>88</v>
      </c>
      <c r="C27" s="10" t="s">
        <v>1137</v>
      </c>
      <c r="D27" s="12" t="s">
        <v>1138</v>
      </c>
      <c r="E27" s="10" t="s">
        <v>10</v>
      </c>
      <c r="F27" s="10" t="s">
        <v>1139</v>
      </c>
    </row>
    <row r="28" spans="1:6" s="10" customFormat="1" ht="32.1">
      <c r="A28" s="10" t="s">
        <v>10</v>
      </c>
      <c r="B28" s="10" t="s">
        <v>88</v>
      </c>
      <c r="C28" s="10" t="s">
        <v>1140</v>
      </c>
      <c r="D28" s="12" t="s">
        <v>1141</v>
      </c>
      <c r="E28" s="10" t="s">
        <v>10</v>
      </c>
      <c r="F28" s="17">
        <f>F29*F30*F31</f>
        <v>16.040000000000003</v>
      </c>
    </row>
    <row r="29" spans="1:6" s="10" customFormat="1" ht="48">
      <c r="A29" s="10" t="s">
        <v>10</v>
      </c>
      <c r="B29" s="10" t="s">
        <v>88</v>
      </c>
      <c r="C29" s="10" t="s">
        <v>1142</v>
      </c>
      <c r="D29" s="12" t="s">
        <v>1143</v>
      </c>
      <c r="E29" s="10" t="s">
        <v>10</v>
      </c>
      <c r="F29" s="17">
        <f>F36/F37</f>
        <v>22.412722427831234</v>
      </c>
    </row>
    <row r="30" spans="1:6" ht="48">
      <c r="A30" s="7" t="s">
        <v>9</v>
      </c>
      <c r="B30" s="7" t="s">
        <v>176</v>
      </c>
      <c r="C30" s="7" t="s">
        <v>1144</v>
      </c>
      <c r="D30" s="8" t="s">
        <v>1145</v>
      </c>
      <c r="E30" s="7" t="s">
        <v>9</v>
      </c>
      <c r="F30" s="9">
        <v>1</v>
      </c>
    </row>
    <row r="31" spans="1:6" s="10" customFormat="1" ht="48">
      <c r="A31" s="10" t="s">
        <v>10</v>
      </c>
      <c r="B31" s="10" t="s">
        <v>88</v>
      </c>
      <c r="C31" s="10" t="s">
        <v>1146</v>
      </c>
      <c r="D31" s="12" t="s">
        <v>1147</v>
      </c>
      <c r="E31" s="10" t="s">
        <v>10</v>
      </c>
      <c r="F31" s="17">
        <f>(F32*F34)/(F35*F33)</f>
        <v>0.71566495554695142</v>
      </c>
    </row>
    <row r="32" spans="1:6" s="10" customFormat="1" ht="32.1">
      <c r="A32" s="10" t="s">
        <v>10</v>
      </c>
      <c r="B32" s="10" t="s">
        <v>88</v>
      </c>
      <c r="D32" s="12" t="s">
        <v>1148</v>
      </c>
      <c r="E32" s="10" t="s">
        <v>10</v>
      </c>
      <c r="F32" s="17">
        <f>101325</f>
        <v>101325</v>
      </c>
    </row>
    <row r="33" spans="1:6" s="10" customFormat="1" ht="15.95">
      <c r="A33" s="10" t="s">
        <v>10</v>
      </c>
      <c r="B33" s="10" t="s">
        <v>88</v>
      </c>
      <c r="C33" s="10" t="s">
        <v>1149</v>
      </c>
      <c r="D33" s="12" t="s">
        <v>1150</v>
      </c>
      <c r="E33" s="10" t="s">
        <v>10</v>
      </c>
      <c r="F33" s="17">
        <f>273.15</f>
        <v>273.14999999999998</v>
      </c>
    </row>
    <row r="34" spans="1:6" s="10" customFormat="1" ht="32.1">
      <c r="A34" s="10" t="s">
        <v>10</v>
      </c>
      <c r="B34" s="10" t="s">
        <v>88</v>
      </c>
      <c r="C34" s="10" t="s">
        <v>1151</v>
      </c>
      <c r="D34" s="12" t="s">
        <v>1152</v>
      </c>
      <c r="E34" s="10" t="s">
        <v>10</v>
      </c>
      <c r="F34" s="17">
        <f>16.04</f>
        <v>16.04</v>
      </c>
    </row>
    <row r="35" spans="1:6" s="10" customFormat="1" ht="32.1">
      <c r="A35" s="10" t="s">
        <v>10</v>
      </c>
      <c r="B35" s="10" t="s">
        <v>88</v>
      </c>
      <c r="C35" s="10" t="s">
        <v>1153</v>
      </c>
      <c r="D35" s="12" t="s">
        <v>1154</v>
      </c>
      <c r="E35" s="10" t="s">
        <v>10</v>
      </c>
      <c r="F35" s="17">
        <f>8314</f>
        <v>8314</v>
      </c>
    </row>
    <row r="36" spans="1:6" ht="32.1">
      <c r="A36" s="7" t="s">
        <v>9</v>
      </c>
      <c r="B36" s="7" t="s">
        <v>176</v>
      </c>
      <c r="C36" s="7" t="s">
        <v>1155</v>
      </c>
      <c r="D36" s="8" t="s">
        <v>1156</v>
      </c>
      <c r="E36" s="7" t="s">
        <v>9</v>
      </c>
      <c r="F36" s="9">
        <v>1</v>
      </c>
    </row>
    <row r="37" spans="1:6" s="10" customFormat="1" ht="48">
      <c r="A37" s="10" t="s">
        <v>10</v>
      </c>
      <c r="B37" s="10" t="s">
        <v>88</v>
      </c>
      <c r="C37" s="10" t="s">
        <v>1157</v>
      </c>
      <c r="D37" s="12" t="s">
        <v>1158</v>
      </c>
      <c r="E37" s="10" t="s">
        <v>10</v>
      </c>
      <c r="F37" s="17">
        <f>(F32*F38)/(F35*F33)</f>
        <v>4.4617515931854826E-2</v>
      </c>
    </row>
    <row r="38" spans="1:6" ht="48">
      <c r="A38" s="7" t="s">
        <v>9</v>
      </c>
      <c r="B38" s="7" t="s">
        <v>176</v>
      </c>
      <c r="C38" s="7" t="s">
        <v>1159</v>
      </c>
      <c r="D38" s="8" t="s">
        <v>1160</v>
      </c>
      <c r="E38" s="7" t="s">
        <v>9</v>
      </c>
      <c r="F38" s="9">
        <v>1</v>
      </c>
    </row>
    <row r="39" spans="1:6" ht="48">
      <c r="A39" s="7" t="s">
        <v>9</v>
      </c>
      <c r="B39" s="7" t="s">
        <v>176</v>
      </c>
      <c r="C39" s="7" t="s">
        <v>1161</v>
      </c>
      <c r="D39" s="8" t="s">
        <v>1162</v>
      </c>
      <c r="E39" s="7" t="s">
        <v>9</v>
      </c>
      <c r="F39" s="9">
        <v>1</v>
      </c>
    </row>
    <row r="40" spans="1:6" ht="32.1">
      <c r="A40" s="7" t="s">
        <v>9</v>
      </c>
      <c r="B40" s="7" t="s">
        <v>11</v>
      </c>
      <c r="C40" s="7" t="s">
        <v>1163</v>
      </c>
      <c r="D40" s="8" t="s">
        <v>1164</v>
      </c>
      <c r="E40" s="7" t="s">
        <v>9</v>
      </c>
      <c r="F40" s="7" t="s">
        <v>1165</v>
      </c>
    </row>
    <row r="41" spans="1:6" s="6" customFormat="1" ht="18.95">
      <c r="A41" s="54"/>
      <c r="B41" s="55"/>
      <c r="C41" s="55"/>
      <c r="D41" s="54" t="s">
        <v>1166</v>
      </c>
      <c r="E41" s="55"/>
      <c r="F41" s="55"/>
    </row>
    <row r="42" spans="1:6" s="10" customFormat="1" ht="32.1">
      <c r="A42" s="10" t="s">
        <v>10</v>
      </c>
      <c r="B42" s="10" t="s">
        <v>88</v>
      </c>
      <c r="C42" s="10" t="s">
        <v>1167</v>
      </c>
      <c r="D42" s="12" t="s">
        <v>1168</v>
      </c>
      <c r="E42" s="10" t="s">
        <v>10</v>
      </c>
      <c r="F42" s="17">
        <f>F43*F44*F45</f>
        <v>0</v>
      </c>
    </row>
    <row r="43" spans="1:6" ht="32.1">
      <c r="A43" s="7" t="s">
        <v>9</v>
      </c>
      <c r="B43" s="7" t="s">
        <v>176</v>
      </c>
      <c r="C43" s="7" t="s">
        <v>1169</v>
      </c>
      <c r="D43" s="8" t="s">
        <v>1170</v>
      </c>
      <c r="E43" s="7" t="s">
        <v>9</v>
      </c>
    </row>
    <row r="44" spans="1:6" s="10" customFormat="1" ht="32.1">
      <c r="A44" s="10" t="s">
        <v>10</v>
      </c>
      <c r="B44" s="10" t="s">
        <v>88</v>
      </c>
      <c r="C44" s="10" t="s">
        <v>1171</v>
      </c>
      <c r="D44" s="12" t="s">
        <v>1172</v>
      </c>
      <c r="E44" s="10" t="s">
        <v>10</v>
      </c>
      <c r="F44" s="17">
        <v>0.6</v>
      </c>
    </row>
    <row r="45" spans="1:6" s="10" customFormat="1" ht="32.1">
      <c r="A45" s="10" t="s">
        <v>10</v>
      </c>
      <c r="B45" s="10" t="s">
        <v>88</v>
      </c>
      <c r="C45" s="10" t="s">
        <v>1173</v>
      </c>
      <c r="D45" s="12" t="s">
        <v>1174</v>
      </c>
      <c r="E45" s="10" t="s">
        <v>10</v>
      </c>
      <c r="F45" s="17">
        <v>6.7000000000000002E-4</v>
      </c>
    </row>
    <row r="46" spans="1:6" s="6" customFormat="1" ht="18.95">
      <c r="A46" s="54"/>
      <c r="B46" s="55"/>
      <c r="C46" s="55"/>
      <c r="D46" s="54" t="s">
        <v>1175</v>
      </c>
      <c r="E46" s="55"/>
      <c r="F46" s="55"/>
    </row>
    <row r="47" spans="1:6" s="10" customFormat="1" ht="32.1">
      <c r="A47" s="10" t="s">
        <v>10</v>
      </c>
      <c r="B47" s="10" t="s">
        <v>88</v>
      </c>
      <c r="C47" s="10" t="s">
        <v>1113</v>
      </c>
      <c r="D47" s="12" t="s">
        <v>237</v>
      </c>
      <c r="E47" s="10" t="s">
        <v>10</v>
      </c>
      <c r="F47" s="17" t="s">
        <v>1176</v>
      </c>
    </row>
    <row r="48" spans="1:6" s="6" customFormat="1" ht="18.95">
      <c r="A48" s="54"/>
      <c r="B48" s="55"/>
      <c r="C48" s="55"/>
      <c r="D48" s="54" t="s">
        <v>1177</v>
      </c>
      <c r="E48" s="55"/>
      <c r="F48" s="55"/>
    </row>
    <row r="49" spans="1:6" s="10" customFormat="1" ht="48">
      <c r="A49" s="10" t="s">
        <v>10</v>
      </c>
      <c r="B49" s="10" t="s">
        <v>88</v>
      </c>
      <c r="C49" s="10" t="s">
        <v>1113</v>
      </c>
      <c r="D49" s="12" t="s">
        <v>1178</v>
      </c>
      <c r="E49" s="10" t="s">
        <v>10</v>
      </c>
      <c r="F49" s="17" t="e">
        <f>F50*F51*F52</f>
        <v>#VALUE!</v>
      </c>
    </row>
    <row r="50" spans="1:6" ht="32.1">
      <c r="A50" s="56" t="s">
        <v>9</v>
      </c>
      <c r="B50" s="7" t="s">
        <v>176</v>
      </c>
      <c r="C50" s="7" t="s">
        <v>1167</v>
      </c>
      <c r="D50" s="8" t="s">
        <v>1179</v>
      </c>
      <c r="E50" s="56" t="s">
        <v>9</v>
      </c>
    </row>
    <row r="51" spans="1:6" s="10" customFormat="1" ht="150.94999999999999">
      <c r="A51" s="10" t="s">
        <v>10</v>
      </c>
      <c r="B51" s="10" t="s">
        <v>88</v>
      </c>
      <c r="C51" s="10" t="s">
        <v>1180</v>
      </c>
      <c r="D51" s="147" t="s">
        <v>1181</v>
      </c>
      <c r="E51" s="10" t="s">
        <v>10</v>
      </c>
      <c r="F51" s="12" t="s">
        <v>1182</v>
      </c>
    </row>
    <row r="52" spans="1:6" s="10" customFormat="1" ht="32.1">
      <c r="A52" s="10" t="s">
        <v>10</v>
      </c>
      <c r="B52" s="10" t="s">
        <v>88</v>
      </c>
      <c r="C52" s="10" t="s">
        <v>1183</v>
      </c>
      <c r="D52" s="12" t="s">
        <v>1184</v>
      </c>
      <c r="E52" s="10" t="s">
        <v>10</v>
      </c>
      <c r="F52" s="17">
        <v>1.3</v>
      </c>
    </row>
    <row r="53" spans="1:6" s="6" customFormat="1" ht="18.95">
      <c r="A53" s="54"/>
      <c r="B53" s="55"/>
      <c r="C53" s="55"/>
      <c r="D53" s="54" t="s">
        <v>1185</v>
      </c>
      <c r="E53" s="55"/>
      <c r="F53" s="55"/>
    </row>
    <row r="54" spans="1:6" s="10" customFormat="1" ht="32.1">
      <c r="A54" s="10" t="s">
        <v>10</v>
      </c>
      <c r="B54" s="10" t="s">
        <v>88</v>
      </c>
      <c r="C54" s="10" t="s">
        <v>930</v>
      </c>
      <c r="D54" s="12" t="s">
        <v>237</v>
      </c>
      <c r="E54" s="10" t="s">
        <v>10</v>
      </c>
      <c r="F54" s="17" t="s">
        <v>1186</v>
      </c>
    </row>
    <row r="55" spans="1:6" s="6" customFormat="1" ht="18.95">
      <c r="A55" s="54"/>
      <c r="B55" s="55"/>
      <c r="C55" s="55"/>
      <c r="D55" s="54" t="s">
        <v>1187</v>
      </c>
      <c r="E55" s="55"/>
      <c r="F55" s="55"/>
    </row>
    <row r="56" spans="1:6" s="10" customFormat="1" ht="32.1">
      <c r="A56" s="10" t="s">
        <v>10</v>
      </c>
      <c r="B56" s="10" t="s">
        <v>88</v>
      </c>
      <c r="C56" s="10" t="s">
        <v>1188</v>
      </c>
      <c r="D56" s="12" t="s">
        <v>1117</v>
      </c>
      <c r="E56" s="10" t="s">
        <v>10</v>
      </c>
      <c r="F56" s="17" t="e">
        <f>F57*F58*F59</f>
        <v>#VALUE!</v>
      </c>
    </row>
    <row r="57" spans="1:6" ht="32.1">
      <c r="A57" s="56" t="s">
        <v>9</v>
      </c>
      <c r="B57" s="7" t="s">
        <v>176</v>
      </c>
      <c r="C57" s="7" t="s">
        <v>1167</v>
      </c>
      <c r="D57" s="8" t="s">
        <v>1179</v>
      </c>
      <c r="E57" s="56" t="s">
        <v>9</v>
      </c>
    </row>
    <row r="58" spans="1:6" s="10" customFormat="1" ht="135">
      <c r="A58" s="10" t="s">
        <v>10</v>
      </c>
      <c r="B58" s="10" t="s">
        <v>88</v>
      </c>
      <c r="C58" s="10" t="s">
        <v>1189</v>
      </c>
      <c r="D58" s="12" t="s">
        <v>1190</v>
      </c>
      <c r="E58" s="10" t="s">
        <v>10</v>
      </c>
      <c r="F58" s="12" t="s">
        <v>1191</v>
      </c>
    </row>
    <row r="59" spans="1:6" s="10" customFormat="1" ht="32.1">
      <c r="A59" s="10" t="s">
        <v>10</v>
      </c>
      <c r="B59" s="10" t="s">
        <v>88</v>
      </c>
      <c r="C59" s="10" t="s">
        <v>1192</v>
      </c>
      <c r="D59" s="12" t="s">
        <v>1193</v>
      </c>
      <c r="E59" s="10" t="s">
        <v>10</v>
      </c>
      <c r="F59" s="17">
        <v>21</v>
      </c>
    </row>
    <row r="60" spans="1:6" s="6" customFormat="1" ht="18.95">
      <c r="A60" s="54"/>
      <c r="B60" s="55"/>
      <c r="C60" s="55"/>
      <c r="D60" s="54" t="s">
        <v>1194</v>
      </c>
      <c r="E60" s="55"/>
      <c r="F60" s="55"/>
    </row>
    <row r="61" spans="1:6" s="10" customFormat="1" ht="32.1">
      <c r="A61" s="10" t="s">
        <v>10</v>
      </c>
      <c r="B61" s="10" t="s">
        <v>88</v>
      </c>
      <c r="C61" s="10" t="s">
        <v>1195</v>
      </c>
      <c r="D61" s="12" t="s">
        <v>1196</v>
      </c>
      <c r="E61" s="10" t="s">
        <v>10</v>
      </c>
      <c r="F61" s="17" t="s">
        <v>1197</v>
      </c>
    </row>
    <row r="62" spans="1:6" s="6" customFormat="1" ht="18.95">
      <c r="A62" s="54"/>
      <c r="B62" s="55"/>
      <c r="C62" s="55"/>
      <c r="D62" s="54" t="s">
        <v>1198</v>
      </c>
      <c r="E62" s="55"/>
      <c r="F62" s="55"/>
    </row>
    <row r="63" spans="1:6" s="10" customFormat="1" ht="32.1">
      <c r="A63" s="10" t="s">
        <v>10</v>
      </c>
      <c r="B63" s="10" t="s">
        <v>88</v>
      </c>
      <c r="C63" s="10" t="s">
        <v>1199</v>
      </c>
      <c r="D63" s="12" t="s">
        <v>1200</v>
      </c>
      <c r="E63" s="10" t="s">
        <v>10</v>
      </c>
      <c r="F63" s="17" t="e">
        <f>F64+F65</f>
        <v>#VALUE!</v>
      </c>
    </row>
    <row r="64" spans="1:6" s="10" customFormat="1" ht="48">
      <c r="A64" s="10" t="s">
        <v>10</v>
      </c>
      <c r="B64" s="10" t="s">
        <v>88</v>
      </c>
      <c r="C64" s="10" t="s">
        <v>1201</v>
      </c>
      <c r="D64" s="12" t="s">
        <v>1202</v>
      </c>
      <c r="E64" s="10" t="s">
        <v>10</v>
      </c>
      <c r="F64" s="12" t="s">
        <v>1203</v>
      </c>
    </row>
    <row r="65" spans="1:6" s="10" customFormat="1" ht="32.1">
      <c r="A65" s="10" t="s">
        <v>10</v>
      </c>
      <c r="B65" s="10" t="s">
        <v>88</v>
      </c>
      <c r="C65" s="10" t="s">
        <v>1204</v>
      </c>
      <c r="D65" s="12" t="s">
        <v>1205</v>
      </c>
      <c r="E65" s="10" t="s">
        <v>10</v>
      </c>
      <c r="F65" s="13">
        <v>0</v>
      </c>
    </row>
    <row r="66" spans="1:6" s="6" customFormat="1" ht="18.95">
      <c r="A66" s="54"/>
      <c r="B66" s="55"/>
      <c r="C66" s="55"/>
      <c r="D66" s="54" t="s">
        <v>1206</v>
      </c>
      <c r="E66" s="55"/>
      <c r="F66" s="55"/>
    </row>
    <row r="67" spans="1:6" s="10" customFormat="1" ht="32.1">
      <c r="A67" s="10" t="s">
        <v>10</v>
      </c>
      <c r="B67" s="10" t="s">
        <v>88</v>
      </c>
      <c r="C67" s="10" t="s">
        <v>1201</v>
      </c>
      <c r="D67" s="12" t="s">
        <v>1202</v>
      </c>
      <c r="E67" s="10" t="s">
        <v>10</v>
      </c>
      <c r="F67" s="17" t="e">
        <f>F68*F69*F70*F71*F72</f>
        <v>#VALUE!</v>
      </c>
    </row>
    <row r="68" spans="1:6" ht="29.25" customHeight="1">
      <c r="A68" s="7" t="s">
        <v>9</v>
      </c>
      <c r="B68" s="7" t="s">
        <v>176</v>
      </c>
      <c r="C68" s="7" t="s">
        <v>1207</v>
      </c>
      <c r="D68" s="8" t="s">
        <v>1208</v>
      </c>
      <c r="E68" s="7" t="s">
        <v>9</v>
      </c>
    </row>
    <row r="69" spans="1:6" ht="32.1">
      <c r="A69" s="7" t="s">
        <v>9</v>
      </c>
      <c r="B69" s="7" t="s">
        <v>176</v>
      </c>
      <c r="C69" s="7" t="s">
        <v>1209</v>
      </c>
      <c r="D69" s="8" t="s">
        <v>1210</v>
      </c>
      <c r="E69" s="7" t="s">
        <v>9</v>
      </c>
    </row>
    <row r="70" spans="1:6" s="10" customFormat="1" ht="32.1">
      <c r="A70" s="10" t="s">
        <v>391</v>
      </c>
      <c r="B70" s="10" t="s">
        <v>88</v>
      </c>
      <c r="C70" s="10" t="s">
        <v>1211</v>
      </c>
      <c r="D70" s="12" t="s">
        <v>1212</v>
      </c>
      <c r="E70" s="10" t="s">
        <v>10</v>
      </c>
      <c r="F70" s="17">
        <f>0.25</f>
        <v>0.25</v>
      </c>
    </row>
    <row r="71" spans="1:6" s="58" customFormat="1" ht="48">
      <c r="A71" s="58" t="s">
        <v>9</v>
      </c>
      <c r="B71" s="58" t="s">
        <v>217</v>
      </c>
      <c r="C71" s="58" t="s">
        <v>1213</v>
      </c>
      <c r="D71" s="59" t="s">
        <v>1214</v>
      </c>
      <c r="E71" s="58" t="s">
        <v>10</v>
      </c>
      <c r="F71" s="59" t="s">
        <v>1215</v>
      </c>
    </row>
    <row r="72" spans="1:6" s="10" customFormat="1" ht="32.1">
      <c r="A72" s="10" t="s">
        <v>10</v>
      </c>
      <c r="B72" s="10" t="s">
        <v>88</v>
      </c>
      <c r="C72" s="10" t="s">
        <v>1192</v>
      </c>
      <c r="D72" s="12" t="s">
        <v>1193</v>
      </c>
      <c r="E72" s="10" t="s">
        <v>10</v>
      </c>
      <c r="F72" s="17">
        <f>21</f>
        <v>21</v>
      </c>
    </row>
    <row r="73" spans="1:6" s="6" customFormat="1" ht="18.95">
      <c r="A73" s="54"/>
      <c r="B73" s="55"/>
      <c r="C73" s="55"/>
      <c r="D73" s="54" t="s">
        <v>1216</v>
      </c>
      <c r="E73" s="55"/>
      <c r="F73" s="55"/>
    </row>
    <row r="74" spans="1:6" s="10" customFormat="1" ht="32.1">
      <c r="A74" s="10" t="s">
        <v>10</v>
      </c>
      <c r="B74" s="10" t="s">
        <v>88</v>
      </c>
      <c r="C74" s="10" t="s">
        <v>1201</v>
      </c>
      <c r="D74" s="12" t="s">
        <v>1202</v>
      </c>
      <c r="E74" s="10" t="s">
        <v>10</v>
      </c>
      <c r="F74" s="17" t="e">
        <f>F75*F76*F77</f>
        <v>#VALUE!</v>
      </c>
    </row>
    <row r="75" spans="1:6" s="58" customFormat="1" ht="84.95">
      <c r="A75" s="58" t="s">
        <v>9</v>
      </c>
      <c r="B75" s="58" t="s">
        <v>217</v>
      </c>
      <c r="C75" s="58" t="s">
        <v>1217</v>
      </c>
      <c r="D75" s="59" t="s">
        <v>1218</v>
      </c>
      <c r="E75" s="58" t="s">
        <v>10</v>
      </c>
      <c r="F75" s="59" t="s">
        <v>1219</v>
      </c>
    </row>
    <row r="76" spans="1:6" ht="32.1">
      <c r="A76" s="7" t="s">
        <v>9</v>
      </c>
      <c r="B76" s="7" t="s">
        <v>176</v>
      </c>
      <c r="C76" s="7" t="s">
        <v>1167</v>
      </c>
      <c r="D76" s="8" t="s">
        <v>1168</v>
      </c>
      <c r="E76" s="7" t="s">
        <v>9</v>
      </c>
    </row>
    <row r="77" spans="1:6" s="10" customFormat="1" ht="32.1">
      <c r="A77" s="10" t="s">
        <v>10</v>
      </c>
      <c r="B77" s="10" t="s">
        <v>88</v>
      </c>
      <c r="C77" s="10" t="s">
        <v>1192</v>
      </c>
      <c r="D77" s="12" t="s">
        <v>1193</v>
      </c>
      <c r="E77" s="10" t="s">
        <v>10</v>
      </c>
      <c r="F77" s="17">
        <v>21</v>
      </c>
    </row>
    <row r="78" spans="1:6" s="6" customFormat="1" ht="18.95">
      <c r="A78" s="54"/>
      <c r="B78" s="55"/>
      <c r="C78" s="55"/>
      <c r="D78" s="54" t="s">
        <v>1220</v>
      </c>
      <c r="E78" s="55"/>
    </row>
    <row r="79" spans="1:6" s="10" customFormat="1" ht="32.1">
      <c r="A79" s="10" t="s">
        <v>10</v>
      </c>
      <c r="B79" s="10" t="s">
        <v>88</v>
      </c>
      <c r="C79" s="10" t="s">
        <v>1201</v>
      </c>
      <c r="D79" s="12" t="s">
        <v>1202</v>
      </c>
      <c r="E79" s="10" t="s">
        <v>10</v>
      </c>
      <c r="F79" s="17" t="e">
        <f>F80*F81*F82</f>
        <v>#VALUE!</v>
      </c>
    </row>
    <row r="80" spans="1:6" s="58" customFormat="1" ht="33.950000000000003">
      <c r="A80" s="58" t="s">
        <v>9</v>
      </c>
      <c r="B80" s="58" t="s">
        <v>217</v>
      </c>
      <c r="C80" s="58" t="s">
        <v>1221</v>
      </c>
      <c r="D80" s="59" t="s">
        <v>1222</v>
      </c>
      <c r="E80" s="58" t="s">
        <v>10</v>
      </c>
      <c r="F80" s="59" t="s">
        <v>1223</v>
      </c>
    </row>
    <row r="81" spans="1:6" ht="32.1">
      <c r="A81" s="7" t="s">
        <v>9</v>
      </c>
      <c r="B81" s="7" t="s">
        <v>176</v>
      </c>
      <c r="C81" s="7" t="s">
        <v>1167</v>
      </c>
      <c r="D81" s="8" t="s">
        <v>1179</v>
      </c>
      <c r="E81" s="7" t="s">
        <v>9</v>
      </c>
    </row>
    <row r="82" spans="1:6" s="10" customFormat="1" ht="32.1">
      <c r="A82" s="10" t="s">
        <v>10</v>
      </c>
      <c r="B82" s="10" t="s">
        <v>88</v>
      </c>
      <c r="C82" s="10" t="s">
        <v>1192</v>
      </c>
      <c r="D82" s="12" t="s">
        <v>1224</v>
      </c>
      <c r="E82" s="10" t="s">
        <v>10</v>
      </c>
      <c r="F82" s="17">
        <f>21</f>
        <v>21</v>
      </c>
    </row>
  </sheetData>
  <pageMargins left="0.7" right="0.7" top="0.75" bottom="0.75" header="0.3" footer="0.3"/>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CCE699-5865-2246-9409-CB7DCE7BEB16}">
  <dimension ref="A1:H14"/>
  <sheetViews>
    <sheetView workbookViewId="0">
      <pane ySplit="1" topLeftCell="A2" activePane="bottomLeft" state="frozen"/>
      <selection pane="bottomLeft" activeCell="G8" sqref="G8"/>
    </sheetView>
  </sheetViews>
  <sheetFormatPr defaultColWidth="8.875" defaultRowHeight="15"/>
  <cols>
    <col min="1" max="1" width="11.5" style="7" customWidth="1"/>
    <col min="2" max="2" width="12.5" style="7" customWidth="1"/>
    <col min="3" max="3" width="10.625" style="7" customWidth="1"/>
    <col min="4" max="4" width="10.375" style="7" customWidth="1"/>
    <col min="5" max="5" width="26.5" style="7" customWidth="1"/>
    <col min="6" max="6" width="59" style="7" customWidth="1"/>
    <col min="7" max="7" width="23.625" style="7" customWidth="1"/>
    <col min="8" max="8" width="56.625" style="7" customWidth="1"/>
    <col min="9" max="16384" width="8.875" style="7"/>
  </cols>
  <sheetData>
    <row r="1" spans="1:8" ht="39.75" customHeight="1">
      <c r="A1" s="95" t="s">
        <v>0</v>
      </c>
      <c r="B1" s="95" t="s">
        <v>163</v>
      </c>
      <c r="C1" s="96" t="s">
        <v>164</v>
      </c>
      <c r="D1" s="95" t="s">
        <v>3</v>
      </c>
      <c r="E1" s="95" t="s">
        <v>5</v>
      </c>
      <c r="F1" s="53" t="s">
        <v>6</v>
      </c>
      <c r="G1" s="53" t="s">
        <v>7</v>
      </c>
      <c r="H1" s="96" t="s">
        <v>165</v>
      </c>
    </row>
    <row r="2" spans="1:8" s="9" customFormat="1" ht="21" customHeight="1">
      <c r="A2" s="235" t="s">
        <v>1225</v>
      </c>
      <c r="B2" s="235"/>
      <c r="C2" s="235"/>
      <c r="D2" s="235"/>
      <c r="E2" s="235"/>
      <c r="F2" s="235"/>
      <c r="G2" s="235"/>
      <c r="H2" s="235"/>
    </row>
    <row r="3" spans="1:8" ht="47.25" customHeight="1">
      <c r="A3" s="212" t="s">
        <v>9</v>
      </c>
      <c r="B3" s="213"/>
      <c r="C3" s="212" t="s">
        <v>167</v>
      </c>
      <c r="D3" s="212" t="s">
        <v>1226</v>
      </c>
      <c r="E3" s="214" t="s">
        <v>1227</v>
      </c>
      <c r="F3" s="215" t="s">
        <v>1228</v>
      </c>
      <c r="G3" s="216" t="s">
        <v>10</v>
      </c>
      <c r="H3" s="215" t="s">
        <v>1229</v>
      </c>
    </row>
    <row r="4" spans="1:8" ht="47.25" customHeight="1">
      <c r="A4" s="217" t="s">
        <v>9</v>
      </c>
      <c r="B4" s="113"/>
      <c r="C4" s="217" t="s">
        <v>175</v>
      </c>
      <c r="D4" s="217" t="s">
        <v>1230</v>
      </c>
      <c r="E4" s="218"/>
      <c r="F4" s="115" t="s">
        <v>1231</v>
      </c>
      <c r="G4" s="219" t="s">
        <v>1232</v>
      </c>
      <c r="H4" s="115" t="s">
        <v>1233</v>
      </c>
    </row>
    <row r="5" spans="1:8" ht="96">
      <c r="A5" s="212" t="s">
        <v>9</v>
      </c>
      <c r="B5" s="213"/>
      <c r="C5" s="212" t="s">
        <v>167</v>
      </c>
      <c r="D5" s="212" t="s">
        <v>1226</v>
      </c>
      <c r="E5" s="214" t="s">
        <v>1234</v>
      </c>
      <c r="F5" s="215" t="s">
        <v>1235</v>
      </c>
      <c r="G5" s="216" t="s">
        <v>1236</v>
      </c>
      <c r="H5" s="215" t="s">
        <v>1237</v>
      </c>
    </row>
    <row r="6" spans="1:8" ht="47.25" customHeight="1">
      <c r="A6" s="217" t="s">
        <v>9</v>
      </c>
      <c r="B6" s="113"/>
      <c r="C6" s="217" t="s">
        <v>175</v>
      </c>
      <c r="D6" s="217" t="s">
        <v>1230</v>
      </c>
      <c r="E6" s="218"/>
      <c r="F6" s="115" t="s">
        <v>1231</v>
      </c>
      <c r="G6" s="219" t="s">
        <v>1232</v>
      </c>
      <c r="H6" s="115" t="s">
        <v>1233</v>
      </c>
    </row>
    <row r="7" spans="1:8" ht="54" customHeight="1">
      <c r="A7" s="212" t="s">
        <v>9</v>
      </c>
      <c r="B7" s="213"/>
      <c r="C7" s="212" t="s">
        <v>167</v>
      </c>
      <c r="D7" s="212" t="s">
        <v>1226</v>
      </c>
      <c r="E7" s="214" t="s">
        <v>1238</v>
      </c>
      <c r="F7" s="214" t="s">
        <v>1238</v>
      </c>
      <c r="G7" s="216" t="s">
        <v>9</v>
      </c>
      <c r="H7" s="215" t="s">
        <v>1239</v>
      </c>
    </row>
    <row r="8" spans="1:8" ht="47.25" customHeight="1">
      <c r="A8" s="217" t="s">
        <v>9</v>
      </c>
      <c r="B8" s="113"/>
      <c r="C8" s="217" t="s">
        <v>175</v>
      </c>
      <c r="D8" s="217" t="s">
        <v>1230</v>
      </c>
      <c r="E8" s="218"/>
      <c r="F8" s="115" t="s">
        <v>1231</v>
      </c>
      <c r="G8" s="219" t="s">
        <v>1232</v>
      </c>
      <c r="H8" s="115" t="s">
        <v>1233</v>
      </c>
    </row>
    <row r="9" spans="1:8" ht="63.95">
      <c r="A9" s="212" t="s">
        <v>9</v>
      </c>
      <c r="B9" s="213"/>
      <c r="C9" s="212" t="s">
        <v>167</v>
      </c>
      <c r="D9" s="212" t="s">
        <v>1226</v>
      </c>
      <c r="E9" s="214" t="s">
        <v>1240</v>
      </c>
      <c r="F9" s="215" t="s">
        <v>1241</v>
      </c>
      <c r="G9" s="216" t="s">
        <v>1236</v>
      </c>
      <c r="H9" s="215" t="s">
        <v>1242</v>
      </c>
    </row>
    <row r="10" spans="1:8" ht="47.25" customHeight="1">
      <c r="A10" s="217" t="s">
        <v>9</v>
      </c>
      <c r="B10" s="113"/>
      <c r="C10" s="217" t="s">
        <v>175</v>
      </c>
      <c r="D10" s="217" t="s">
        <v>1230</v>
      </c>
      <c r="E10" s="218"/>
      <c r="F10" s="115" t="s">
        <v>1231</v>
      </c>
      <c r="G10" s="219" t="s">
        <v>1232</v>
      </c>
      <c r="H10" s="115" t="s">
        <v>1233</v>
      </c>
    </row>
    <row r="11" spans="1:8" ht="63.95">
      <c r="A11" s="212" t="s">
        <v>9</v>
      </c>
      <c r="B11" s="213"/>
      <c r="C11" s="212" t="s">
        <v>167</v>
      </c>
      <c r="D11" s="212" t="s">
        <v>1226</v>
      </c>
      <c r="E11" s="214" t="s">
        <v>1243</v>
      </c>
      <c r="F11" s="215" t="s">
        <v>1244</v>
      </c>
      <c r="G11" s="216" t="s">
        <v>9</v>
      </c>
      <c r="H11" s="215" t="s">
        <v>1245</v>
      </c>
    </row>
    <row r="12" spans="1:8" ht="47.25" customHeight="1">
      <c r="A12" s="217" t="s">
        <v>9</v>
      </c>
      <c r="B12" s="113"/>
      <c r="C12" s="217" t="s">
        <v>175</v>
      </c>
      <c r="D12" s="217" t="s">
        <v>1230</v>
      </c>
      <c r="E12" s="218"/>
      <c r="F12" s="115" t="s">
        <v>1231</v>
      </c>
      <c r="G12" s="219" t="s">
        <v>1232</v>
      </c>
      <c r="H12" s="115" t="s">
        <v>1233</v>
      </c>
    </row>
    <row r="13" spans="1:8" ht="33" customHeight="1">
      <c r="A13" s="235" t="s">
        <v>1246</v>
      </c>
      <c r="B13" s="235"/>
      <c r="C13" s="235"/>
      <c r="D13" s="235"/>
      <c r="E13" s="235"/>
      <c r="F13" s="235"/>
      <c r="G13" s="235"/>
      <c r="H13" s="235"/>
    </row>
    <row r="14" spans="1:8" ht="42.75" customHeight="1">
      <c r="A14" s="113"/>
      <c r="B14" s="113"/>
      <c r="C14" s="56"/>
      <c r="D14" s="113"/>
      <c r="E14" s="114"/>
      <c r="F14" s="115"/>
      <c r="G14" s="9"/>
    </row>
  </sheetData>
  <mergeCells count="2">
    <mergeCell ref="A2:H2"/>
    <mergeCell ref="A13:H13"/>
  </mergeCell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FBBB4-A463-5447-AFD6-3C89488DB4CE}">
  <dimension ref="A1:B481"/>
  <sheetViews>
    <sheetView topLeftCell="A22" zoomScale="120" zoomScaleNormal="120" workbookViewId="0">
      <selection activeCell="A41" sqref="A41"/>
    </sheetView>
  </sheetViews>
  <sheetFormatPr defaultColWidth="8.875" defaultRowHeight="15"/>
  <cols>
    <col min="1" max="1" width="53.375" style="7" bestFit="1" customWidth="1"/>
    <col min="2" max="2" width="150.5" style="7" customWidth="1"/>
    <col min="3" max="16384" width="8.875" style="7"/>
  </cols>
  <sheetData>
    <row r="1" spans="1:2" ht="15.95">
      <c r="A1" s="220" t="s">
        <v>1247</v>
      </c>
      <c r="B1" s="221" t="s">
        <v>1248</v>
      </c>
    </row>
    <row r="2" spans="1:2">
      <c r="A2" s="7" t="s">
        <v>1249</v>
      </c>
      <c r="B2" s="7" t="s">
        <v>1250</v>
      </c>
    </row>
    <row r="3" spans="1:2">
      <c r="A3" s="7" t="s">
        <v>38</v>
      </c>
      <c r="B3" s="7" t="s">
        <v>1251</v>
      </c>
    </row>
    <row r="4" spans="1:2">
      <c r="A4" s="7" t="s">
        <v>1252</v>
      </c>
      <c r="B4" s="7" t="s">
        <v>1253</v>
      </c>
    </row>
    <row r="5" spans="1:2">
      <c r="A5" s="7" t="s">
        <v>47</v>
      </c>
      <c r="B5" s="7" t="s">
        <v>1254</v>
      </c>
    </row>
    <row r="6" spans="1:2">
      <c r="A6" s="7" t="s">
        <v>56</v>
      </c>
      <c r="B6" s="7" t="s">
        <v>1255</v>
      </c>
    </row>
    <row r="7" spans="1:2">
      <c r="A7" s="7" t="s">
        <v>1256</v>
      </c>
      <c r="B7" s="7" t="s">
        <v>1257</v>
      </c>
    </row>
    <row r="8" spans="1:2">
      <c r="A8" s="7" t="s">
        <v>1258</v>
      </c>
      <c r="B8" s="7" t="s">
        <v>1259</v>
      </c>
    </row>
    <row r="9" spans="1:2">
      <c r="A9" s="7" t="s">
        <v>1260</v>
      </c>
      <c r="B9" s="7" t="s">
        <v>1261</v>
      </c>
    </row>
    <row r="10" spans="1:2">
      <c r="A10" s="7" t="s">
        <v>1262</v>
      </c>
      <c r="B10" s="7" t="s">
        <v>1263</v>
      </c>
    </row>
    <row r="11" spans="1:2">
      <c r="A11" s="7" t="s">
        <v>1264</v>
      </c>
      <c r="B11" s="7" t="s">
        <v>1265</v>
      </c>
    </row>
    <row r="12" spans="1:2">
      <c r="A12" s="7" t="s">
        <v>21</v>
      </c>
      <c r="B12" s="7" t="s">
        <v>1266</v>
      </c>
    </row>
    <row r="13" spans="1:2">
      <c r="A13" s="7" t="s">
        <v>1267</v>
      </c>
      <c r="B13" s="7" t="s">
        <v>1268</v>
      </c>
    </row>
    <row r="14" spans="1:2">
      <c r="A14" s="7" t="s">
        <v>1269</v>
      </c>
      <c r="B14" s="7" t="s">
        <v>1270</v>
      </c>
    </row>
    <row r="15" spans="1:2">
      <c r="A15" s="7" t="s">
        <v>1271</v>
      </c>
      <c r="B15" s="7" t="s">
        <v>1272</v>
      </c>
    </row>
    <row r="16" spans="1:2">
      <c r="A16" s="7" t="s">
        <v>1273</v>
      </c>
      <c r="B16" s="7" t="s">
        <v>1274</v>
      </c>
    </row>
    <row r="17" spans="1:2">
      <c r="A17" s="7" t="s">
        <v>1275</v>
      </c>
      <c r="B17" s="7" t="s">
        <v>1276</v>
      </c>
    </row>
    <row r="18" spans="1:2">
      <c r="A18" s="7" t="s">
        <v>1277</v>
      </c>
      <c r="B18" s="7" t="s">
        <v>1278</v>
      </c>
    </row>
    <row r="19" spans="1:2">
      <c r="A19" s="7" t="s">
        <v>15</v>
      </c>
      <c r="B19" s="7" t="s">
        <v>1279</v>
      </c>
    </row>
    <row r="20" spans="1:2">
      <c r="A20" s="7" t="s">
        <v>18</v>
      </c>
      <c r="B20" s="7" t="s">
        <v>1280</v>
      </c>
    </row>
    <row r="21" spans="1:2">
      <c r="A21" s="7" t="s">
        <v>24</v>
      </c>
      <c r="B21" s="7" t="s">
        <v>1281</v>
      </c>
    </row>
    <row r="22" spans="1:2">
      <c r="A22" s="7" t="s">
        <v>1282</v>
      </c>
      <c r="B22" s="7" t="s">
        <v>1283</v>
      </c>
    </row>
    <row r="23" spans="1:2">
      <c r="A23" s="7" t="s">
        <v>1284</v>
      </c>
      <c r="B23" s="7" t="s">
        <v>1285</v>
      </c>
    </row>
    <row r="24" spans="1:2">
      <c r="A24" s="7" t="s">
        <v>1286</v>
      </c>
      <c r="B24" s="7" t="s">
        <v>1287</v>
      </c>
    </row>
    <row r="25" spans="1:2">
      <c r="A25" s="7" t="s">
        <v>1288</v>
      </c>
      <c r="B25" s="7" t="s">
        <v>1289</v>
      </c>
    </row>
    <row r="26" spans="1:2">
      <c r="A26" s="7" t="s">
        <v>1290</v>
      </c>
      <c r="B26" s="7" t="s">
        <v>1291</v>
      </c>
    </row>
    <row r="27" spans="1:2">
      <c r="A27" s="7" t="s">
        <v>1292</v>
      </c>
      <c r="B27" s="7" t="s">
        <v>1293</v>
      </c>
    </row>
    <row r="28" spans="1:2">
      <c r="A28" s="7" t="s">
        <v>1294</v>
      </c>
      <c r="B28" s="7" t="s">
        <v>1295</v>
      </c>
    </row>
    <row r="29" spans="1:2">
      <c r="A29" s="7" t="s">
        <v>1296</v>
      </c>
      <c r="B29" s="7" t="s">
        <v>1297</v>
      </c>
    </row>
    <row r="30" spans="1:2">
      <c r="A30" s="7" t="s">
        <v>1298</v>
      </c>
      <c r="B30" s="7" t="s">
        <v>1299</v>
      </c>
    </row>
    <row r="31" spans="1:2">
      <c r="A31" s="7" t="s">
        <v>1300</v>
      </c>
      <c r="B31" s="7" t="s">
        <v>1301</v>
      </c>
    </row>
    <row r="32" spans="1:2">
      <c r="A32" s="7" t="s">
        <v>1302</v>
      </c>
      <c r="B32" s="7" t="s">
        <v>1303</v>
      </c>
    </row>
    <row r="33" spans="1:2">
      <c r="A33" s="7" t="s">
        <v>1304</v>
      </c>
      <c r="B33" s="7" t="s">
        <v>1305</v>
      </c>
    </row>
    <row r="34" spans="1:2">
      <c r="A34" s="222" t="s">
        <v>65</v>
      </c>
      <c r="B34" s="7" t="s">
        <v>1306</v>
      </c>
    </row>
    <row r="35" spans="1:2">
      <c r="A35" s="222" t="s">
        <v>68</v>
      </c>
      <c r="B35" s="7" t="s">
        <v>1307</v>
      </c>
    </row>
    <row r="36" spans="1:2">
      <c r="A36" s="222" t="s">
        <v>71</v>
      </c>
      <c r="B36" s="7" t="s">
        <v>1308</v>
      </c>
    </row>
    <row r="37" spans="1:2">
      <c r="A37" s="222" t="s">
        <v>30</v>
      </c>
      <c r="B37" s="7" t="s">
        <v>1309</v>
      </c>
    </row>
    <row r="38" spans="1:2">
      <c r="A38" s="222" t="s">
        <v>27</v>
      </c>
      <c r="B38" s="7" t="s">
        <v>1310</v>
      </c>
    </row>
    <row r="39" spans="1:2">
      <c r="A39" s="222" t="s">
        <v>33</v>
      </c>
      <c r="B39" s="7" t="s">
        <v>1311</v>
      </c>
    </row>
    <row r="40" spans="1:2">
      <c r="A40" s="7" t="s">
        <v>1312</v>
      </c>
      <c r="B40" s="7" t="s">
        <v>1313</v>
      </c>
    </row>
    <row r="41" spans="1:2">
      <c r="A41" s="7" t="s">
        <v>1314</v>
      </c>
      <c r="B41" s="7" t="s">
        <v>1315</v>
      </c>
    </row>
    <row r="42" spans="1:2">
      <c r="A42" s="7" t="s">
        <v>1316</v>
      </c>
      <c r="B42" s="7" t="s">
        <v>1317</v>
      </c>
    </row>
    <row r="43" spans="1:2">
      <c r="A43" s="7" t="s">
        <v>1318</v>
      </c>
      <c r="B43" s="7" t="s">
        <v>1319</v>
      </c>
    </row>
    <row r="44" spans="1:2">
      <c r="A44" s="7" t="s">
        <v>1320</v>
      </c>
      <c r="B44" s="7" t="s">
        <v>1321</v>
      </c>
    </row>
    <row r="45" spans="1:2">
      <c r="A45" s="7" t="s">
        <v>1322</v>
      </c>
      <c r="B45" s="7" t="s">
        <v>1323</v>
      </c>
    </row>
    <row r="46" spans="1:2">
      <c r="A46" s="7" t="s">
        <v>1324</v>
      </c>
      <c r="B46" s="7" t="s">
        <v>1325</v>
      </c>
    </row>
    <row r="47" spans="1:2">
      <c r="A47" s="7" t="s">
        <v>1326</v>
      </c>
      <c r="B47" s="7" t="s">
        <v>1327</v>
      </c>
    </row>
    <row r="48" spans="1:2">
      <c r="A48" s="7" t="s">
        <v>1328</v>
      </c>
      <c r="B48" s="7" t="s">
        <v>1329</v>
      </c>
    </row>
    <row r="49" spans="1:2">
      <c r="A49" s="7" t="s">
        <v>1330</v>
      </c>
      <c r="B49" s="7" t="s">
        <v>1331</v>
      </c>
    </row>
    <row r="50" spans="1:2">
      <c r="A50" s="7" t="s">
        <v>1332</v>
      </c>
      <c r="B50" s="7" t="s">
        <v>1333</v>
      </c>
    </row>
    <row r="51" spans="1:2">
      <c r="A51" s="7" t="s">
        <v>1334</v>
      </c>
      <c r="B51" s="7" t="s">
        <v>1335</v>
      </c>
    </row>
    <row r="52" spans="1:2">
      <c r="A52" s="7" t="s">
        <v>1336</v>
      </c>
      <c r="B52" s="7" t="s">
        <v>1337</v>
      </c>
    </row>
    <row r="53" spans="1:2">
      <c r="A53" s="7" t="s">
        <v>1338</v>
      </c>
      <c r="B53" s="7" t="s">
        <v>1339</v>
      </c>
    </row>
    <row r="54" spans="1:2">
      <c r="A54" s="7" t="s">
        <v>1340</v>
      </c>
      <c r="B54" s="7" t="s">
        <v>1341</v>
      </c>
    </row>
    <row r="55" spans="1:2">
      <c r="A55" s="7" t="s">
        <v>1342</v>
      </c>
      <c r="B55" s="7" t="s">
        <v>1343</v>
      </c>
    </row>
    <row r="56" spans="1:2">
      <c r="A56" s="7" t="s">
        <v>1344</v>
      </c>
      <c r="B56" s="7" t="s">
        <v>1345</v>
      </c>
    </row>
    <row r="57" spans="1:2">
      <c r="A57" s="7" t="s">
        <v>1346</v>
      </c>
      <c r="B57" s="7" t="s">
        <v>1347</v>
      </c>
    </row>
    <row r="58" spans="1:2">
      <c r="A58" s="7" t="s">
        <v>1348</v>
      </c>
      <c r="B58" s="7" t="s">
        <v>1349</v>
      </c>
    </row>
    <row r="59" spans="1:2">
      <c r="A59" s="7" t="s">
        <v>1350</v>
      </c>
      <c r="B59" s="7" t="s">
        <v>1351</v>
      </c>
    </row>
    <row r="60" spans="1:2">
      <c r="A60" s="7" t="s">
        <v>1352</v>
      </c>
      <c r="B60" s="7" t="s">
        <v>1353</v>
      </c>
    </row>
    <row r="61" spans="1:2">
      <c r="A61" s="7" t="s">
        <v>1354</v>
      </c>
      <c r="B61" s="7" t="s">
        <v>1355</v>
      </c>
    </row>
    <row r="62" spans="1:2">
      <c r="A62" s="7" t="s">
        <v>1356</v>
      </c>
      <c r="B62" s="7" t="s">
        <v>1357</v>
      </c>
    </row>
    <row r="63" spans="1:2">
      <c r="A63" s="7" t="s">
        <v>1358</v>
      </c>
      <c r="B63" s="7" t="s">
        <v>1359</v>
      </c>
    </row>
    <row r="64" spans="1:2">
      <c r="A64" s="7" t="s">
        <v>1360</v>
      </c>
      <c r="B64" s="7" t="s">
        <v>1361</v>
      </c>
    </row>
    <row r="65" spans="1:2">
      <c r="A65" s="7" t="s">
        <v>1362</v>
      </c>
      <c r="B65" s="7" t="s">
        <v>1363</v>
      </c>
    </row>
    <row r="66" spans="1:2">
      <c r="A66" s="7" t="s">
        <v>1364</v>
      </c>
      <c r="B66" s="7" t="s">
        <v>1365</v>
      </c>
    </row>
    <row r="67" spans="1:2">
      <c r="A67" s="7" t="s">
        <v>1366</v>
      </c>
      <c r="B67" s="7" t="s">
        <v>1367</v>
      </c>
    </row>
    <row r="68" spans="1:2">
      <c r="A68" s="7" t="s">
        <v>1368</v>
      </c>
      <c r="B68" s="7" t="s">
        <v>1369</v>
      </c>
    </row>
    <row r="69" spans="1:2">
      <c r="A69" s="7" t="s">
        <v>1370</v>
      </c>
      <c r="B69" s="7" t="s">
        <v>1371</v>
      </c>
    </row>
    <row r="70" spans="1:2">
      <c r="A70" s="7" t="s">
        <v>1372</v>
      </c>
      <c r="B70" s="7" t="s">
        <v>1373</v>
      </c>
    </row>
    <row r="71" spans="1:2">
      <c r="A71" s="7" t="s">
        <v>1374</v>
      </c>
      <c r="B71" s="7" t="s">
        <v>1375</v>
      </c>
    </row>
    <row r="72" spans="1:2">
      <c r="A72" s="7" t="s">
        <v>1376</v>
      </c>
      <c r="B72" s="7" t="s">
        <v>1377</v>
      </c>
    </row>
    <row r="73" spans="1:2">
      <c r="A73" s="7" t="s">
        <v>1378</v>
      </c>
      <c r="B73" s="7" t="s">
        <v>1379</v>
      </c>
    </row>
    <row r="74" spans="1:2">
      <c r="A74" s="7" t="s">
        <v>1380</v>
      </c>
      <c r="B74" s="7" t="s">
        <v>1381</v>
      </c>
    </row>
    <row r="75" spans="1:2">
      <c r="A75" s="7" t="s">
        <v>1382</v>
      </c>
      <c r="B75" s="7" t="s">
        <v>1383</v>
      </c>
    </row>
    <row r="76" spans="1:2">
      <c r="A76" s="7" t="s">
        <v>1384</v>
      </c>
      <c r="B76" s="7" t="s">
        <v>1385</v>
      </c>
    </row>
    <row r="77" spans="1:2">
      <c r="A77" s="7" t="s">
        <v>1386</v>
      </c>
      <c r="B77" s="7" t="s">
        <v>1387</v>
      </c>
    </row>
    <row r="78" spans="1:2">
      <c r="A78" s="7" t="s">
        <v>1388</v>
      </c>
      <c r="B78" s="7" t="s">
        <v>1389</v>
      </c>
    </row>
    <row r="79" spans="1:2">
      <c r="A79" s="7" t="s">
        <v>1390</v>
      </c>
      <c r="B79" s="7" t="s">
        <v>1391</v>
      </c>
    </row>
    <row r="80" spans="1:2">
      <c r="A80" s="7" t="s">
        <v>1392</v>
      </c>
      <c r="B80" s="7" t="s">
        <v>1393</v>
      </c>
    </row>
    <row r="81" spans="1:2">
      <c r="A81" s="7" t="s">
        <v>1394</v>
      </c>
      <c r="B81" s="7" t="s">
        <v>1395</v>
      </c>
    </row>
    <row r="82" spans="1:2">
      <c r="A82" s="7" t="s">
        <v>1396</v>
      </c>
      <c r="B82" s="7" t="s">
        <v>1397</v>
      </c>
    </row>
    <row r="83" spans="1:2">
      <c r="A83" s="7" t="s">
        <v>1398</v>
      </c>
      <c r="B83" s="7" t="s">
        <v>1399</v>
      </c>
    </row>
    <row r="84" spans="1:2">
      <c r="A84" s="7" t="s">
        <v>1400</v>
      </c>
      <c r="B84" s="7" t="s">
        <v>1401</v>
      </c>
    </row>
    <row r="85" spans="1:2">
      <c r="A85" s="7" t="s">
        <v>1402</v>
      </c>
      <c r="B85" s="7" t="s">
        <v>1403</v>
      </c>
    </row>
    <row r="86" spans="1:2">
      <c r="A86" s="7" t="s">
        <v>1404</v>
      </c>
      <c r="B86" s="7" t="s">
        <v>1405</v>
      </c>
    </row>
    <row r="87" spans="1:2">
      <c r="A87" s="7" t="s">
        <v>76</v>
      </c>
      <c r="B87" s="7" t="s">
        <v>1406</v>
      </c>
    </row>
    <row r="88" spans="1:2">
      <c r="A88" s="7" t="s">
        <v>1407</v>
      </c>
      <c r="B88" s="7" t="s">
        <v>1408</v>
      </c>
    </row>
    <row r="89" spans="1:2">
      <c r="A89" s="7" t="s">
        <v>1409</v>
      </c>
      <c r="B89" s="7" t="s">
        <v>1410</v>
      </c>
    </row>
    <row r="90" spans="1:2">
      <c r="A90" s="7" t="s">
        <v>1411</v>
      </c>
      <c r="B90" s="7" t="s">
        <v>1412</v>
      </c>
    </row>
    <row r="91" spans="1:2">
      <c r="A91" s="7" t="s">
        <v>1413</v>
      </c>
      <c r="B91" s="7" t="s">
        <v>1414</v>
      </c>
    </row>
    <row r="92" spans="1:2">
      <c r="A92" s="7" t="s">
        <v>1415</v>
      </c>
      <c r="B92" s="7" t="s">
        <v>1416</v>
      </c>
    </row>
    <row r="93" spans="1:2">
      <c r="A93" s="7" t="s">
        <v>1417</v>
      </c>
      <c r="B93" s="7" t="s">
        <v>1418</v>
      </c>
    </row>
    <row r="94" spans="1:2">
      <c r="A94" s="7" t="s">
        <v>1419</v>
      </c>
      <c r="B94" s="7" t="s">
        <v>1420</v>
      </c>
    </row>
    <row r="95" spans="1:2">
      <c r="A95" s="7" t="s">
        <v>1421</v>
      </c>
      <c r="B95" s="7" t="s">
        <v>1422</v>
      </c>
    </row>
    <row r="96" spans="1:2">
      <c r="A96" s="7" t="s">
        <v>1423</v>
      </c>
      <c r="B96" s="7" t="s">
        <v>1424</v>
      </c>
    </row>
    <row r="97" spans="1:2">
      <c r="A97" s="7" t="s">
        <v>1425</v>
      </c>
      <c r="B97" s="7" t="s">
        <v>1426</v>
      </c>
    </row>
    <row r="98" spans="1:2">
      <c r="A98" s="7" t="s">
        <v>1427</v>
      </c>
      <c r="B98" s="7" t="s">
        <v>1428</v>
      </c>
    </row>
    <row r="99" spans="1:2">
      <c r="A99" s="7" t="s">
        <v>1429</v>
      </c>
      <c r="B99" s="7" t="s">
        <v>1430</v>
      </c>
    </row>
    <row r="100" spans="1:2">
      <c r="A100" s="7" t="s">
        <v>1431</v>
      </c>
      <c r="B100" s="7" t="s">
        <v>1432</v>
      </c>
    </row>
    <row r="101" spans="1:2">
      <c r="A101" s="7" t="s">
        <v>1433</v>
      </c>
      <c r="B101" s="7" t="s">
        <v>1434</v>
      </c>
    </row>
    <row r="102" spans="1:2">
      <c r="A102" s="7" t="s">
        <v>1435</v>
      </c>
      <c r="B102" s="7" t="s">
        <v>1436</v>
      </c>
    </row>
    <row r="103" spans="1:2">
      <c r="A103" s="7" t="s">
        <v>1437</v>
      </c>
      <c r="B103" s="7" t="s">
        <v>1438</v>
      </c>
    </row>
    <row r="104" spans="1:2">
      <c r="A104" s="7" t="s">
        <v>1439</v>
      </c>
      <c r="B104" s="7" t="s">
        <v>1440</v>
      </c>
    </row>
    <row r="105" spans="1:2">
      <c r="A105" s="7" t="s">
        <v>1441</v>
      </c>
      <c r="B105" s="7" t="s">
        <v>1442</v>
      </c>
    </row>
    <row r="106" spans="1:2">
      <c r="A106" s="7" t="s">
        <v>1443</v>
      </c>
      <c r="B106" s="7" t="s">
        <v>1444</v>
      </c>
    </row>
    <row r="107" spans="1:2">
      <c r="A107" s="7" t="s">
        <v>1445</v>
      </c>
      <c r="B107" s="7" t="s">
        <v>1446</v>
      </c>
    </row>
    <row r="108" spans="1:2">
      <c r="A108" s="7" t="s">
        <v>1447</v>
      </c>
      <c r="B108" s="7" t="s">
        <v>1448</v>
      </c>
    </row>
    <row r="109" spans="1:2">
      <c r="A109" s="7" t="s">
        <v>1449</v>
      </c>
      <c r="B109" s="7" t="s">
        <v>1450</v>
      </c>
    </row>
    <row r="110" spans="1:2">
      <c r="A110" s="7" t="s">
        <v>1451</v>
      </c>
      <c r="B110" s="7" t="s">
        <v>1452</v>
      </c>
    </row>
    <row r="111" spans="1:2">
      <c r="A111" s="7" t="s">
        <v>1453</v>
      </c>
      <c r="B111" s="7" t="s">
        <v>1454</v>
      </c>
    </row>
    <row r="112" spans="1:2">
      <c r="A112" s="7" t="s">
        <v>1455</v>
      </c>
      <c r="B112" s="7" t="s">
        <v>1456</v>
      </c>
    </row>
    <row r="113" spans="1:2">
      <c r="A113" s="7" t="s">
        <v>1457</v>
      </c>
      <c r="B113" s="7" t="s">
        <v>1458</v>
      </c>
    </row>
    <row r="114" spans="1:2">
      <c r="A114" s="7" t="s">
        <v>1459</v>
      </c>
      <c r="B114" s="7" t="s">
        <v>1460</v>
      </c>
    </row>
    <row r="115" spans="1:2">
      <c r="A115" s="7" t="s">
        <v>1461</v>
      </c>
      <c r="B115" s="7" t="s">
        <v>1462</v>
      </c>
    </row>
    <row r="116" spans="1:2">
      <c r="A116" s="7" t="s">
        <v>1463</v>
      </c>
      <c r="B116" s="7" t="s">
        <v>1464</v>
      </c>
    </row>
    <row r="117" spans="1:2">
      <c r="A117" s="7" t="s">
        <v>1465</v>
      </c>
      <c r="B117" s="7" t="s">
        <v>1466</v>
      </c>
    </row>
    <row r="118" spans="1:2">
      <c r="A118" s="7" t="s">
        <v>1467</v>
      </c>
      <c r="B118" s="7" t="s">
        <v>1468</v>
      </c>
    </row>
    <row r="119" spans="1:2">
      <c r="A119" s="7" t="s">
        <v>1469</v>
      </c>
      <c r="B119" s="7" t="s">
        <v>1470</v>
      </c>
    </row>
    <row r="120" spans="1:2">
      <c r="A120" s="7" t="s">
        <v>1471</v>
      </c>
      <c r="B120" s="7" t="s">
        <v>1472</v>
      </c>
    </row>
    <row r="121" spans="1:2">
      <c r="A121" s="7" t="s">
        <v>1473</v>
      </c>
      <c r="B121" s="7" t="s">
        <v>1474</v>
      </c>
    </row>
    <row r="122" spans="1:2">
      <c r="A122" s="7" t="s">
        <v>1475</v>
      </c>
      <c r="B122" s="7" t="s">
        <v>1476</v>
      </c>
    </row>
    <row r="123" spans="1:2">
      <c r="A123" s="7" t="s">
        <v>1477</v>
      </c>
      <c r="B123" s="7" t="s">
        <v>1478</v>
      </c>
    </row>
    <row r="124" spans="1:2">
      <c r="A124" s="7" t="s">
        <v>1479</v>
      </c>
      <c r="B124" s="7" t="s">
        <v>1480</v>
      </c>
    </row>
    <row r="125" spans="1:2">
      <c r="A125" s="7" t="s">
        <v>1481</v>
      </c>
      <c r="B125" s="7" t="s">
        <v>1482</v>
      </c>
    </row>
    <row r="126" spans="1:2">
      <c r="A126" s="7" t="s">
        <v>1483</v>
      </c>
      <c r="B126" s="7" t="s">
        <v>1484</v>
      </c>
    </row>
    <row r="127" spans="1:2">
      <c r="A127" s="7" t="s">
        <v>1485</v>
      </c>
      <c r="B127" s="7" t="s">
        <v>1486</v>
      </c>
    </row>
    <row r="128" spans="1:2">
      <c r="A128" s="7" t="s">
        <v>1487</v>
      </c>
      <c r="B128" s="7" t="s">
        <v>1488</v>
      </c>
    </row>
    <row r="129" spans="1:2">
      <c r="A129" s="7" t="s">
        <v>1489</v>
      </c>
      <c r="B129" s="7" t="s">
        <v>1490</v>
      </c>
    </row>
    <row r="130" spans="1:2">
      <c r="A130" s="7" t="s">
        <v>1491</v>
      </c>
      <c r="B130" s="7" t="s">
        <v>1492</v>
      </c>
    </row>
    <row r="131" spans="1:2">
      <c r="A131" s="7" t="s">
        <v>1493</v>
      </c>
      <c r="B131" s="7" t="s">
        <v>63</v>
      </c>
    </row>
    <row r="132" spans="1:2">
      <c r="A132" s="7" t="s">
        <v>1494</v>
      </c>
      <c r="B132" s="7" t="s">
        <v>1495</v>
      </c>
    </row>
    <row r="133" spans="1:2">
      <c r="A133" s="7" t="s">
        <v>1496</v>
      </c>
      <c r="B133" s="7" t="s">
        <v>1497</v>
      </c>
    </row>
    <row r="134" spans="1:2">
      <c r="A134" s="7" t="s">
        <v>1498</v>
      </c>
      <c r="B134" s="7" t="s">
        <v>1499</v>
      </c>
    </row>
    <row r="135" spans="1:2">
      <c r="A135" s="7" t="s">
        <v>1500</v>
      </c>
      <c r="B135" s="7" t="s">
        <v>1501</v>
      </c>
    </row>
    <row r="136" spans="1:2">
      <c r="A136" s="7" t="s">
        <v>1502</v>
      </c>
      <c r="B136" s="7" t="s">
        <v>1503</v>
      </c>
    </row>
    <row r="137" spans="1:2">
      <c r="A137" s="7" t="s">
        <v>153</v>
      </c>
      <c r="B137" s="7" t="s">
        <v>1504</v>
      </c>
    </row>
    <row r="138" spans="1:2">
      <c r="A138" s="7" t="s">
        <v>1505</v>
      </c>
      <c r="B138" s="7" t="s">
        <v>1506</v>
      </c>
    </row>
    <row r="139" spans="1:2">
      <c r="A139" s="7" t="s">
        <v>1507</v>
      </c>
      <c r="B139" s="7" t="s">
        <v>1508</v>
      </c>
    </row>
    <row r="140" spans="1:2">
      <c r="A140" s="7" t="s">
        <v>1509</v>
      </c>
      <c r="B140" s="7" t="s">
        <v>1510</v>
      </c>
    </row>
    <row r="141" spans="1:2">
      <c r="A141" s="7" t="s">
        <v>1511</v>
      </c>
      <c r="B141" s="7" t="s">
        <v>1512</v>
      </c>
    </row>
    <row r="142" spans="1:2">
      <c r="A142" s="7" t="s">
        <v>1513</v>
      </c>
      <c r="B142" s="7" t="s">
        <v>1514</v>
      </c>
    </row>
    <row r="143" spans="1:2">
      <c r="A143" s="7" t="s">
        <v>1515</v>
      </c>
      <c r="B143" s="7" t="s">
        <v>1516</v>
      </c>
    </row>
    <row r="144" spans="1:2">
      <c r="A144" s="7" t="s">
        <v>1517</v>
      </c>
      <c r="B144" s="7" t="s">
        <v>1518</v>
      </c>
    </row>
    <row r="145" spans="1:2">
      <c r="A145" s="7" t="s">
        <v>1519</v>
      </c>
      <c r="B145" s="7" t="s">
        <v>1520</v>
      </c>
    </row>
    <row r="146" spans="1:2">
      <c r="A146" s="7" t="s">
        <v>156</v>
      </c>
      <c r="B146" s="7" t="s">
        <v>1521</v>
      </c>
    </row>
    <row r="147" spans="1:2">
      <c r="A147" s="7" t="s">
        <v>159</v>
      </c>
      <c r="B147" s="7" t="s">
        <v>1522</v>
      </c>
    </row>
    <row r="148" spans="1:2">
      <c r="A148" s="7" t="s">
        <v>1523</v>
      </c>
      <c r="B148" s="7" t="s">
        <v>1524</v>
      </c>
    </row>
    <row r="149" spans="1:2">
      <c r="A149" s="7" t="s">
        <v>1525</v>
      </c>
      <c r="B149" s="7" t="s">
        <v>1526</v>
      </c>
    </row>
    <row r="150" spans="1:2">
      <c r="A150" s="7" t="s">
        <v>1527</v>
      </c>
      <c r="B150" s="7" t="s">
        <v>1528</v>
      </c>
    </row>
    <row r="151" spans="1:2">
      <c r="A151" s="7" t="s">
        <v>1529</v>
      </c>
      <c r="B151" s="7" t="s">
        <v>1530</v>
      </c>
    </row>
    <row r="152" spans="1:2">
      <c r="A152" s="7" t="s">
        <v>1531</v>
      </c>
      <c r="B152" s="7" t="s">
        <v>1532</v>
      </c>
    </row>
    <row r="153" spans="1:2">
      <c r="A153" s="7" t="s">
        <v>1533</v>
      </c>
      <c r="B153" s="7" t="s">
        <v>1534</v>
      </c>
    </row>
    <row r="154" spans="1:2">
      <c r="A154" s="7" t="s">
        <v>1535</v>
      </c>
      <c r="B154" s="7" t="s">
        <v>1536</v>
      </c>
    </row>
    <row r="155" spans="1:2">
      <c r="A155" s="7" t="s">
        <v>1537</v>
      </c>
      <c r="B155" s="7" t="s">
        <v>1538</v>
      </c>
    </row>
    <row r="156" spans="1:2">
      <c r="A156" s="7" t="s">
        <v>1539</v>
      </c>
      <c r="B156" s="7" t="s">
        <v>1540</v>
      </c>
    </row>
    <row r="157" spans="1:2">
      <c r="A157" s="7" t="s">
        <v>1541</v>
      </c>
      <c r="B157" s="7" t="s">
        <v>1542</v>
      </c>
    </row>
    <row r="158" spans="1:2">
      <c r="A158" s="7" t="s">
        <v>1543</v>
      </c>
      <c r="B158" s="7" t="s">
        <v>1544</v>
      </c>
    </row>
    <row r="159" spans="1:2">
      <c r="A159" s="7" t="s">
        <v>1545</v>
      </c>
      <c r="B159" s="7" t="s">
        <v>1546</v>
      </c>
    </row>
    <row r="160" spans="1:2">
      <c r="A160" s="7" t="s">
        <v>1547</v>
      </c>
      <c r="B160" s="7" t="s">
        <v>1548</v>
      </c>
    </row>
    <row r="161" spans="1:2">
      <c r="A161" s="7" t="s">
        <v>1549</v>
      </c>
      <c r="B161" s="7" t="s">
        <v>1550</v>
      </c>
    </row>
    <row r="162" spans="1:2">
      <c r="A162" s="7" t="s">
        <v>1551</v>
      </c>
      <c r="B162" s="7" t="s">
        <v>1552</v>
      </c>
    </row>
    <row r="163" spans="1:2">
      <c r="A163" s="7" t="s">
        <v>1553</v>
      </c>
      <c r="B163" s="7" t="s">
        <v>1554</v>
      </c>
    </row>
    <row r="164" spans="1:2">
      <c r="A164" s="7" t="s">
        <v>1555</v>
      </c>
      <c r="B164" s="7" t="s">
        <v>1556</v>
      </c>
    </row>
    <row r="165" spans="1:2">
      <c r="A165" s="7" t="s">
        <v>1557</v>
      </c>
      <c r="B165" s="7" t="s">
        <v>1558</v>
      </c>
    </row>
    <row r="166" spans="1:2">
      <c r="A166" s="7" t="s">
        <v>1559</v>
      </c>
      <c r="B166" s="7" t="s">
        <v>1560</v>
      </c>
    </row>
    <row r="167" spans="1:2">
      <c r="A167" s="7" t="s">
        <v>1561</v>
      </c>
      <c r="B167" s="7" t="s">
        <v>1562</v>
      </c>
    </row>
    <row r="168" spans="1:2">
      <c r="A168" s="7" t="s">
        <v>1563</v>
      </c>
      <c r="B168" s="7" t="s">
        <v>1564</v>
      </c>
    </row>
    <row r="169" spans="1:2">
      <c r="A169" s="7" t="s">
        <v>1565</v>
      </c>
      <c r="B169" s="7" t="s">
        <v>1566</v>
      </c>
    </row>
    <row r="170" spans="1:2">
      <c r="A170" s="7" t="s">
        <v>1567</v>
      </c>
      <c r="B170" s="7" t="s">
        <v>1568</v>
      </c>
    </row>
    <row r="171" spans="1:2">
      <c r="A171" s="7" t="s">
        <v>1569</v>
      </c>
      <c r="B171" s="7" t="s">
        <v>1570</v>
      </c>
    </row>
    <row r="172" spans="1:2">
      <c r="A172" s="7" t="s">
        <v>1571</v>
      </c>
      <c r="B172" s="7" t="s">
        <v>1572</v>
      </c>
    </row>
    <row r="173" spans="1:2">
      <c r="A173" s="7" t="s">
        <v>1573</v>
      </c>
      <c r="B173" s="7" t="s">
        <v>1574</v>
      </c>
    </row>
    <row r="174" spans="1:2">
      <c r="A174" s="7" t="s">
        <v>1575</v>
      </c>
      <c r="B174" s="7" t="s">
        <v>1576</v>
      </c>
    </row>
    <row r="175" spans="1:2">
      <c r="A175" s="7" t="s">
        <v>1577</v>
      </c>
      <c r="B175" s="7" t="s">
        <v>1578</v>
      </c>
    </row>
    <row r="176" spans="1:2">
      <c r="A176" s="7" t="s">
        <v>1579</v>
      </c>
      <c r="B176" s="7" t="s">
        <v>1580</v>
      </c>
    </row>
    <row r="177" spans="1:2">
      <c r="A177" s="7" t="s">
        <v>1581</v>
      </c>
      <c r="B177" s="7" t="s">
        <v>1582</v>
      </c>
    </row>
    <row r="178" spans="1:2">
      <c r="A178" s="7" t="s">
        <v>1583</v>
      </c>
      <c r="B178" s="7" t="s">
        <v>1584</v>
      </c>
    </row>
    <row r="179" spans="1:2">
      <c r="A179" s="7" t="s">
        <v>1585</v>
      </c>
      <c r="B179" s="7" t="s">
        <v>1586</v>
      </c>
    </row>
    <row r="180" spans="1:2">
      <c r="A180" s="7" t="s">
        <v>1587</v>
      </c>
      <c r="B180" s="7" t="s">
        <v>1588</v>
      </c>
    </row>
    <row r="181" spans="1:2">
      <c r="A181" s="7" t="s">
        <v>1589</v>
      </c>
      <c r="B181" s="7" t="s">
        <v>1590</v>
      </c>
    </row>
    <row r="182" spans="1:2">
      <c r="A182" s="7" t="s">
        <v>1591</v>
      </c>
      <c r="B182" s="7" t="s">
        <v>1592</v>
      </c>
    </row>
    <row r="183" spans="1:2">
      <c r="A183" s="7" t="s">
        <v>1593</v>
      </c>
      <c r="B183" s="7" t="s">
        <v>1594</v>
      </c>
    </row>
    <row r="184" spans="1:2">
      <c r="A184" s="7" t="s">
        <v>1595</v>
      </c>
      <c r="B184" s="7" t="s">
        <v>1596</v>
      </c>
    </row>
    <row r="185" spans="1:2">
      <c r="A185" s="7" t="s">
        <v>1597</v>
      </c>
      <c r="B185" s="7" t="s">
        <v>1598</v>
      </c>
    </row>
    <row r="186" spans="1:2">
      <c r="A186" s="7" t="s">
        <v>1599</v>
      </c>
      <c r="B186" s="7" t="s">
        <v>1600</v>
      </c>
    </row>
    <row r="187" spans="1:2">
      <c r="A187" s="7" t="s">
        <v>1601</v>
      </c>
      <c r="B187" s="7" t="s">
        <v>1602</v>
      </c>
    </row>
    <row r="188" spans="1:2">
      <c r="A188" s="7" t="s">
        <v>1603</v>
      </c>
      <c r="B188" s="7" t="s">
        <v>1604</v>
      </c>
    </row>
    <row r="189" spans="1:2">
      <c r="A189" s="7" t="s">
        <v>1605</v>
      </c>
      <c r="B189" s="7" t="s">
        <v>1606</v>
      </c>
    </row>
    <row r="190" spans="1:2">
      <c r="A190" s="7" t="s">
        <v>1607</v>
      </c>
      <c r="B190" s="7" t="s">
        <v>1608</v>
      </c>
    </row>
    <row r="191" spans="1:2">
      <c r="A191" s="7" t="s">
        <v>1609</v>
      </c>
      <c r="B191" s="7" t="s">
        <v>1610</v>
      </c>
    </row>
    <row r="192" spans="1:2">
      <c r="A192" s="7" t="s">
        <v>1611</v>
      </c>
      <c r="B192" s="7" t="s">
        <v>1612</v>
      </c>
    </row>
    <row r="193" spans="1:2">
      <c r="A193" s="7" t="s">
        <v>1613</v>
      </c>
      <c r="B193" s="7" t="s">
        <v>1614</v>
      </c>
    </row>
    <row r="194" spans="1:2">
      <c r="A194" s="7" t="s">
        <v>1615</v>
      </c>
      <c r="B194" s="7" t="s">
        <v>1616</v>
      </c>
    </row>
    <row r="195" spans="1:2">
      <c r="A195" s="7" t="s">
        <v>1617</v>
      </c>
      <c r="B195" s="7" t="s">
        <v>1618</v>
      </c>
    </row>
    <row r="196" spans="1:2">
      <c r="A196" s="7" t="s">
        <v>1619</v>
      </c>
      <c r="B196" s="7" t="s">
        <v>1620</v>
      </c>
    </row>
    <row r="197" spans="1:2">
      <c r="A197" s="7" t="s">
        <v>1621</v>
      </c>
      <c r="B197" s="7" t="s">
        <v>1622</v>
      </c>
    </row>
    <row r="198" spans="1:2">
      <c r="A198" s="7" t="s">
        <v>61</v>
      </c>
      <c r="B198" s="7" t="s">
        <v>1623</v>
      </c>
    </row>
    <row r="199" spans="1:2">
      <c r="A199" s="7" t="s">
        <v>1624</v>
      </c>
      <c r="B199" s="7" t="s">
        <v>1625</v>
      </c>
    </row>
    <row r="200" spans="1:2">
      <c r="A200" s="7" t="s">
        <v>1626</v>
      </c>
      <c r="B200" s="7" t="s">
        <v>1627</v>
      </c>
    </row>
    <row r="201" spans="1:2">
      <c r="A201" s="7" t="s">
        <v>1628</v>
      </c>
      <c r="B201" s="7" t="s">
        <v>1629</v>
      </c>
    </row>
    <row r="202" spans="1:2">
      <c r="A202" s="7" t="s">
        <v>1630</v>
      </c>
      <c r="B202" s="7" t="s">
        <v>1631</v>
      </c>
    </row>
    <row r="203" spans="1:2">
      <c r="A203" s="7" t="s">
        <v>1632</v>
      </c>
      <c r="B203" s="7" t="s">
        <v>1633</v>
      </c>
    </row>
    <row r="204" spans="1:2">
      <c r="A204" s="7" t="s">
        <v>1634</v>
      </c>
      <c r="B204" s="7" t="s">
        <v>1635</v>
      </c>
    </row>
    <row r="205" spans="1:2">
      <c r="A205" s="7" t="s">
        <v>1636</v>
      </c>
      <c r="B205" s="7" t="s">
        <v>1637</v>
      </c>
    </row>
    <row r="206" spans="1:2">
      <c r="A206" s="7" t="s">
        <v>1638</v>
      </c>
      <c r="B206" s="7" t="s">
        <v>1639</v>
      </c>
    </row>
    <row r="207" spans="1:2">
      <c r="A207" s="7" t="s">
        <v>1640</v>
      </c>
      <c r="B207" s="7" t="s">
        <v>1641</v>
      </c>
    </row>
    <row r="208" spans="1:2">
      <c r="A208" s="7" t="s">
        <v>1642</v>
      </c>
      <c r="B208" s="7" t="s">
        <v>1643</v>
      </c>
    </row>
    <row r="209" spans="1:2">
      <c r="A209" s="7" t="s">
        <v>1644</v>
      </c>
      <c r="B209" s="7" t="s">
        <v>1645</v>
      </c>
    </row>
    <row r="210" spans="1:2">
      <c r="A210" s="7" t="s">
        <v>1646</v>
      </c>
      <c r="B210" s="7" t="s">
        <v>1647</v>
      </c>
    </row>
    <row r="211" spans="1:2">
      <c r="A211" s="7" t="s">
        <v>1648</v>
      </c>
      <c r="B211" s="7" t="s">
        <v>1649</v>
      </c>
    </row>
    <row r="212" spans="1:2">
      <c r="A212" s="7" t="s">
        <v>1650</v>
      </c>
      <c r="B212" s="7" t="s">
        <v>1651</v>
      </c>
    </row>
    <row r="213" spans="1:2">
      <c r="A213" s="7" t="s">
        <v>1652</v>
      </c>
      <c r="B213" s="7" t="s">
        <v>1653</v>
      </c>
    </row>
    <row r="214" spans="1:2">
      <c r="A214" s="7" t="s">
        <v>1654</v>
      </c>
      <c r="B214" s="7" t="s">
        <v>1655</v>
      </c>
    </row>
    <row r="215" spans="1:2">
      <c r="A215" s="7" t="s">
        <v>1656</v>
      </c>
      <c r="B215" s="7" t="s">
        <v>1657</v>
      </c>
    </row>
    <row r="216" spans="1:2">
      <c r="A216" s="7" t="s">
        <v>1658</v>
      </c>
      <c r="B216" s="7" t="s">
        <v>1659</v>
      </c>
    </row>
    <row r="217" spans="1:2">
      <c r="A217" s="7" t="s">
        <v>1660</v>
      </c>
      <c r="B217" s="7" t="s">
        <v>1661</v>
      </c>
    </row>
    <row r="218" spans="1:2">
      <c r="A218" s="7" t="s">
        <v>1662</v>
      </c>
      <c r="B218" s="7" t="s">
        <v>1663</v>
      </c>
    </row>
    <row r="219" spans="1:2">
      <c r="A219" s="7" t="s">
        <v>1664</v>
      </c>
      <c r="B219" s="7" t="s">
        <v>1665</v>
      </c>
    </row>
    <row r="220" spans="1:2">
      <c r="A220" s="7" t="s">
        <v>1666</v>
      </c>
      <c r="B220" s="7" t="s">
        <v>1667</v>
      </c>
    </row>
    <row r="221" spans="1:2">
      <c r="A221" s="7" t="s">
        <v>1668</v>
      </c>
      <c r="B221" s="7" t="s">
        <v>1669</v>
      </c>
    </row>
    <row r="222" spans="1:2">
      <c r="A222" s="7" t="s">
        <v>1670</v>
      </c>
      <c r="B222" s="7" t="s">
        <v>1671</v>
      </c>
    </row>
    <row r="223" spans="1:2">
      <c r="A223" s="7" t="s">
        <v>1672</v>
      </c>
      <c r="B223" s="7" t="s">
        <v>1673</v>
      </c>
    </row>
    <row r="224" spans="1:2">
      <c r="A224" s="7" t="s">
        <v>1674</v>
      </c>
      <c r="B224" s="7" t="s">
        <v>1675</v>
      </c>
    </row>
    <row r="225" spans="1:2">
      <c r="A225" s="7" t="s">
        <v>1676</v>
      </c>
      <c r="B225" s="7" t="s">
        <v>1677</v>
      </c>
    </row>
    <row r="226" spans="1:2">
      <c r="A226" s="7" t="s">
        <v>1678</v>
      </c>
      <c r="B226" s="7" t="s">
        <v>1679</v>
      </c>
    </row>
    <row r="227" spans="1:2">
      <c r="A227" s="7" t="s">
        <v>1680</v>
      </c>
      <c r="B227" s="7" t="s">
        <v>1681</v>
      </c>
    </row>
    <row r="228" spans="1:2">
      <c r="A228" s="7" t="s">
        <v>1682</v>
      </c>
      <c r="B228" s="7" t="s">
        <v>1683</v>
      </c>
    </row>
    <row r="229" spans="1:2">
      <c r="A229" s="7" t="s">
        <v>1684</v>
      </c>
      <c r="B229" s="7" t="s">
        <v>1685</v>
      </c>
    </row>
    <row r="230" spans="1:2">
      <c r="A230" s="7" t="s">
        <v>1686</v>
      </c>
      <c r="B230" s="7" t="s">
        <v>1687</v>
      </c>
    </row>
    <row r="231" spans="1:2">
      <c r="A231" s="7" t="s">
        <v>1688</v>
      </c>
      <c r="B231" s="7" t="s">
        <v>1689</v>
      </c>
    </row>
    <row r="232" spans="1:2">
      <c r="A232" s="7" t="s">
        <v>1690</v>
      </c>
      <c r="B232" s="7" t="s">
        <v>1691</v>
      </c>
    </row>
    <row r="233" spans="1:2">
      <c r="A233" s="7" t="s">
        <v>1692</v>
      </c>
      <c r="B233" s="7" t="s">
        <v>1693</v>
      </c>
    </row>
    <row r="234" spans="1:2">
      <c r="A234" s="7" t="s">
        <v>1694</v>
      </c>
      <c r="B234" s="222" t="s">
        <v>1695</v>
      </c>
    </row>
    <row r="235" spans="1:2">
      <c r="A235" s="7" t="s">
        <v>1696</v>
      </c>
      <c r="B235" s="222" t="s">
        <v>1697</v>
      </c>
    </row>
    <row r="236" spans="1:2">
      <c r="A236" s="7" t="s">
        <v>1698</v>
      </c>
      <c r="B236" s="222" t="s">
        <v>1699</v>
      </c>
    </row>
    <row r="237" spans="1:2">
      <c r="A237" s="7" t="s">
        <v>1700</v>
      </c>
      <c r="B237" s="222" t="s">
        <v>1701</v>
      </c>
    </row>
    <row r="238" spans="1:2">
      <c r="A238" s="7" t="s">
        <v>1702</v>
      </c>
      <c r="B238" s="222" t="s">
        <v>1703</v>
      </c>
    </row>
    <row r="239" spans="1:2">
      <c r="A239" s="7" t="s">
        <v>1704</v>
      </c>
      <c r="B239" s="222" t="s">
        <v>1705</v>
      </c>
    </row>
    <row r="240" spans="1:2">
      <c r="A240" s="7" t="s">
        <v>1706</v>
      </c>
      <c r="B240" s="222" t="s">
        <v>1707</v>
      </c>
    </row>
    <row r="241" spans="1:2">
      <c r="A241" s="7" t="s">
        <v>1708</v>
      </c>
      <c r="B241" s="222" t="s">
        <v>1709</v>
      </c>
    </row>
    <row r="242" spans="1:2">
      <c r="A242" s="7" t="s">
        <v>1710</v>
      </c>
      <c r="B242" s="222" t="s">
        <v>1711</v>
      </c>
    </row>
    <row r="243" spans="1:2">
      <c r="A243" s="7" t="s">
        <v>1712</v>
      </c>
      <c r="B243" s="222" t="s">
        <v>1713</v>
      </c>
    </row>
    <row r="244" spans="1:2">
      <c r="A244" s="7" t="s">
        <v>1714</v>
      </c>
      <c r="B244" s="222" t="s">
        <v>1715</v>
      </c>
    </row>
    <row r="245" spans="1:2">
      <c r="A245" s="7" t="s">
        <v>1716</v>
      </c>
      <c r="B245" s="222" t="s">
        <v>1717</v>
      </c>
    </row>
    <row r="246" spans="1:2">
      <c r="A246" s="7" t="s">
        <v>1718</v>
      </c>
      <c r="B246" s="222" t="s">
        <v>1719</v>
      </c>
    </row>
    <row r="247" spans="1:2">
      <c r="A247" s="7" t="s">
        <v>1720</v>
      </c>
      <c r="B247" s="222" t="s">
        <v>1721</v>
      </c>
    </row>
    <row r="248" spans="1:2">
      <c r="A248" s="7" t="s">
        <v>1722</v>
      </c>
      <c r="B248" s="222" t="s">
        <v>1723</v>
      </c>
    </row>
    <row r="249" spans="1:2">
      <c r="A249" s="7" t="s">
        <v>1724</v>
      </c>
      <c r="B249" s="222" t="s">
        <v>1725</v>
      </c>
    </row>
    <row r="250" spans="1:2">
      <c r="A250" s="7" t="s">
        <v>1726</v>
      </c>
      <c r="B250" s="222" t="s">
        <v>1727</v>
      </c>
    </row>
    <row r="251" spans="1:2">
      <c r="A251" s="7" t="s">
        <v>1728</v>
      </c>
      <c r="B251" s="222" t="s">
        <v>1729</v>
      </c>
    </row>
    <row r="252" spans="1:2">
      <c r="A252" s="7" t="s">
        <v>1730</v>
      </c>
      <c r="B252" s="222" t="s">
        <v>1731</v>
      </c>
    </row>
    <row r="253" spans="1:2">
      <c r="A253" s="7" t="s">
        <v>1732</v>
      </c>
      <c r="B253" s="222" t="s">
        <v>1733</v>
      </c>
    </row>
    <row r="254" spans="1:2">
      <c r="A254" s="7" t="s">
        <v>1734</v>
      </c>
      <c r="B254" s="222" t="s">
        <v>1735</v>
      </c>
    </row>
    <row r="255" spans="1:2">
      <c r="A255" s="7" t="s">
        <v>1736</v>
      </c>
      <c r="B255" s="222" t="s">
        <v>1737</v>
      </c>
    </row>
    <row r="256" spans="1:2">
      <c r="A256" s="7" t="s">
        <v>1738</v>
      </c>
      <c r="B256" s="222" t="s">
        <v>1739</v>
      </c>
    </row>
    <row r="257" spans="1:2">
      <c r="A257" s="7" t="s">
        <v>1740</v>
      </c>
      <c r="B257" s="222" t="s">
        <v>1741</v>
      </c>
    </row>
    <row r="258" spans="1:2">
      <c r="A258" s="7" t="s">
        <v>1742</v>
      </c>
      <c r="B258" s="222" t="s">
        <v>1743</v>
      </c>
    </row>
    <row r="259" spans="1:2">
      <c r="A259" s="7" t="s">
        <v>1744</v>
      </c>
      <c r="B259" s="222" t="s">
        <v>1745</v>
      </c>
    </row>
    <row r="260" spans="1:2">
      <c r="A260" s="7" t="s">
        <v>1746</v>
      </c>
      <c r="B260" s="222" t="s">
        <v>1747</v>
      </c>
    </row>
    <row r="261" spans="1:2">
      <c r="A261" s="7" t="s">
        <v>1748</v>
      </c>
      <c r="B261" s="222" t="s">
        <v>1749</v>
      </c>
    </row>
    <row r="262" spans="1:2">
      <c r="A262" s="7" t="s">
        <v>1750</v>
      </c>
      <c r="B262" s="222" t="s">
        <v>1751</v>
      </c>
    </row>
    <row r="263" spans="1:2">
      <c r="A263" s="7" t="s">
        <v>1752</v>
      </c>
      <c r="B263" s="222" t="s">
        <v>1753</v>
      </c>
    </row>
    <row r="264" spans="1:2">
      <c r="A264" s="7" t="s">
        <v>1754</v>
      </c>
      <c r="B264" s="222" t="s">
        <v>1755</v>
      </c>
    </row>
    <row r="265" spans="1:2">
      <c r="A265" s="7" t="s">
        <v>1756</v>
      </c>
      <c r="B265" s="222" t="s">
        <v>1757</v>
      </c>
    </row>
    <row r="266" spans="1:2">
      <c r="A266" s="7" t="s">
        <v>1758</v>
      </c>
      <c r="B266" s="222" t="s">
        <v>1759</v>
      </c>
    </row>
    <row r="267" spans="1:2">
      <c r="A267" s="7" t="s">
        <v>1760</v>
      </c>
      <c r="B267" s="222" t="s">
        <v>1761</v>
      </c>
    </row>
    <row r="268" spans="1:2">
      <c r="A268" s="7" t="s">
        <v>1762</v>
      </c>
      <c r="B268" s="222" t="s">
        <v>1763</v>
      </c>
    </row>
    <row r="269" spans="1:2">
      <c r="A269" s="7" t="s">
        <v>1764</v>
      </c>
      <c r="B269" s="222" t="s">
        <v>1765</v>
      </c>
    </row>
    <row r="270" spans="1:2">
      <c r="A270" s="7" t="s">
        <v>1766</v>
      </c>
      <c r="B270" s="222" t="s">
        <v>1767</v>
      </c>
    </row>
    <row r="271" spans="1:2">
      <c r="A271" s="7" t="s">
        <v>1768</v>
      </c>
      <c r="B271" s="222" t="s">
        <v>1769</v>
      </c>
    </row>
    <row r="272" spans="1:2">
      <c r="A272" s="7" t="s">
        <v>1770</v>
      </c>
      <c r="B272" s="222" t="s">
        <v>1771</v>
      </c>
    </row>
    <row r="273" spans="1:2">
      <c r="A273" s="7" t="s">
        <v>1772</v>
      </c>
      <c r="B273" s="222" t="s">
        <v>1773</v>
      </c>
    </row>
    <row r="274" spans="1:2">
      <c r="A274" s="7" t="s">
        <v>1774</v>
      </c>
      <c r="B274" s="222" t="s">
        <v>1775</v>
      </c>
    </row>
    <row r="275" spans="1:2">
      <c r="A275" s="7" t="s">
        <v>1776</v>
      </c>
      <c r="B275" s="222" t="s">
        <v>1777</v>
      </c>
    </row>
    <row r="276" spans="1:2">
      <c r="A276" s="7" t="s">
        <v>1778</v>
      </c>
      <c r="B276" s="222" t="s">
        <v>1779</v>
      </c>
    </row>
    <row r="277" spans="1:2">
      <c r="A277" s="7" t="s">
        <v>1780</v>
      </c>
      <c r="B277" s="222" t="s">
        <v>1781</v>
      </c>
    </row>
    <row r="278" spans="1:2">
      <c r="B278" s="222" t="s">
        <v>1782</v>
      </c>
    </row>
    <row r="279" spans="1:2">
      <c r="B279" s="222" t="s">
        <v>1783</v>
      </c>
    </row>
    <row r="280" spans="1:2">
      <c r="B280" s="222" t="s">
        <v>1784</v>
      </c>
    </row>
    <row r="281" spans="1:2">
      <c r="B281" s="222" t="s">
        <v>1785</v>
      </c>
    </row>
    <row r="282" spans="1:2">
      <c r="B282" s="222" t="s">
        <v>1786</v>
      </c>
    </row>
    <row r="283" spans="1:2">
      <c r="B283" s="222" t="s">
        <v>1787</v>
      </c>
    </row>
    <row r="284" spans="1:2">
      <c r="B284" s="222" t="s">
        <v>1788</v>
      </c>
    </row>
    <row r="285" spans="1:2">
      <c r="B285" s="222" t="s">
        <v>1789</v>
      </c>
    </row>
    <row r="286" spans="1:2">
      <c r="B286" s="222" t="s">
        <v>1790</v>
      </c>
    </row>
    <row r="287" spans="1:2">
      <c r="B287" s="222" t="s">
        <v>1791</v>
      </c>
    </row>
    <row r="288" spans="1:2">
      <c r="B288" s="222" t="s">
        <v>1792</v>
      </c>
    </row>
    <row r="289" spans="2:2">
      <c r="B289" s="222" t="s">
        <v>1793</v>
      </c>
    </row>
    <row r="290" spans="2:2">
      <c r="B290" s="222" t="s">
        <v>1794</v>
      </c>
    </row>
    <row r="291" spans="2:2">
      <c r="B291" s="222" t="s">
        <v>1795</v>
      </c>
    </row>
    <row r="292" spans="2:2">
      <c r="B292" s="222" t="s">
        <v>1796</v>
      </c>
    </row>
    <row r="293" spans="2:2">
      <c r="B293" s="222" t="s">
        <v>1797</v>
      </c>
    </row>
    <row r="294" spans="2:2">
      <c r="B294" s="222" t="s">
        <v>1798</v>
      </c>
    </row>
    <row r="295" spans="2:2">
      <c r="B295" s="222" t="s">
        <v>1799</v>
      </c>
    </row>
    <row r="296" spans="2:2">
      <c r="B296" s="222" t="s">
        <v>1800</v>
      </c>
    </row>
    <row r="297" spans="2:2">
      <c r="B297" s="222" t="s">
        <v>1801</v>
      </c>
    </row>
    <row r="298" spans="2:2">
      <c r="B298" s="222" t="s">
        <v>1802</v>
      </c>
    </row>
    <row r="299" spans="2:2">
      <c r="B299" s="222" t="s">
        <v>1803</v>
      </c>
    </row>
    <row r="300" spans="2:2">
      <c r="B300" s="222" t="s">
        <v>1804</v>
      </c>
    </row>
    <row r="301" spans="2:2">
      <c r="B301" s="222" t="s">
        <v>1805</v>
      </c>
    </row>
    <row r="302" spans="2:2">
      <c r="B302" s="222" t="s">
        <v>1806</v>
      </c>
    </row>
    <row r="303" spans="2:2">
      <c r="B303" s="7" t="s">
        <v>1807</v>
      </c>
    </row>
    <row r="304" spans="2:2">
      <c r="B304" s="7" t="s">
        <v>1808</v>
      </c>
    </row>
    <row r="305" spans="2:2">
      <c r="B305" s="7" t="s">
        <v>1809</v>
      </c>
    </row>
    <row r="306" spans="2:2">
      <c r="B306" s="7" t="s">
        <v>1810</v>
      </c>
    </row>
    <row r="307" spans="2:2">
      <c r="B307" s="7" t="s">
        <v>1811</v>
      </c>
    </row>
    <row r="308" spans="2:2">
      <c r="B308" s="7" t="s">
        <v>1812</v>
      </c>
    </row>
    <row r="309" spans="2:2">
      <c r="B309" s="7" t="s">
        <v>1813</v>
      </c>
    </row>
    <row r="310" spans="2:2">
      <c r="B310" s="7" t="s">
        <v>1814</v>
      </c>
    </row>
    <row r="311" spans="2:2">
      <c r="B311" s="7" t="s">
        <v>1815</v>
      </c>
    </row>
    <row r="312" spans="2:2">
      <c r="B312" s="7" t="s">
        <v>1816</v>
      </c>
    </row>
    <row r="313" spans="2:2">
      <c r="B313" s="7" t="s">
        <v>1817</v>
      </c>
    </row>
    <row r="314" spans="2:2">
      <c r="B314" s="7" t="s">
        <v>1818</v>
      </c>
    </row>
    <row r="315" spans="2:2">
      <c r="B315" s="7" t="s">
        <v>1819</v>
      </c>
    </row>
    <row r="316" spans="2:2">
      <c r="B316" s="7" t="s">
        <v>1820</v>
      </c>
    </row>
    <row r="317" spans="2:2">
      <c r="B317" s="7" t="s">
        <v>1821</v>
      </c>
    </row>
    <row r="318" spans="2:2">
      <c r="B318" s="7" t="s">
        <v>1822</v>
      </c>
    </row>
    <row r="319" spans="2:2">
      <c r="B319" s="7" t="s">
        <v>1823</v>
      </c>
    </row>
    <row r="320" spans="2:2">
      <c r="B320" s="7" t="s">
        <v>1824</v>
      </c>
    </row>
    <row r="321" spans="2:2">
      <c r="B321" s="7" t="s">
        <v>1825</v>
      </c>
    </row>
    <row r="322" spans="2:2">
      <c r="B322" s="7" t="s">
        <v>1826</v>
      </c>
    </row>
    <row r="323" spans="2:2">
      <c r="B323" s="7" t="s">
        <v>1827</v>
      </c>
    </row>
    <row r="324" spans="2:2">
      <c r="B324" s="7" t="s">
        <v>1828</v>
      </c>
    </row>
    <row r="325" spans="2:2">
      <c r="B325" s="7" t="s">
        <v>1829</v>
      </c>
    </row>
    <row r="326" spans="2:2">
      <c r="B326" s="7" t="s">
        <v>1830</v>
      </c>
    </row>
    <row r="327" spans="2:2">
      <c r="B327" s="7" t="s">
        <v>1831</v>
      </c>
    </row>
    <row r="328" spans="2:2">
      <c r="B328" s="7" t="s">
        <v>1832</v>
      </c>
    </row>
    <row r="329" spans="2:2">
      <c r="B329" s="7" t="s">
        <v>1833</v>
      </c>
    </row>
    <row r="330" spans="2:2">
      <c r="B330" s="7" t="s">
        <v>1834</v>
      </c>
    </row>
    <row r="331" spans="2:2">
      <c r="B331" s="7" t="s">
        <v>1835</v>
      </c>
    </row>
    <row r="332" spans="2:2">
      <c r="B332" s="7" t="s">
        <v>1836</v>
      </c>
    </row>
    <row r="333" spans="2:2">
      <c r="B333" s="7" t="s">
        <v>1837</v>
      </c>
    </row>
    <row r="334" spans="2:2">
      <c r="B334" s="7" t="s">
        <v>1838</v>
      </c>
    </row>
    <row r="335" spans="2:2">
      <c r="B335" s="7" t="s">
        <v>1839</v>
      </c>
    </row>
    <row r="336" spans="2:2">
      <c r="B336" s="7" t="s">
        <v>1840</v>
      </c>
    </row>
    <row r="337" spans="2:2">
      <c r="B337" s="7" t="s">
        <v>1841</v>
      </c>
    </row>
    <row r="338" spans="2:2">
      <c r="B338" s="7" t="s">
        <v>1842</v>
      </c>
    </row>
    <row r="339" spans="2:2">
      <c r="B339" s="7" t="s">
        <v>1843</v>
      </c>
    </row>
    <row r="340" spans="2:2">
      <c r="B340" s="7" t="s">
        <v>1844</v>
      </c>
    </row>
    <row r="341" spans="2:2">
      <c r="B341" s="7" t="s">
        <v>1845</v>
      </c>
    </row>
    <row r="342" spans="2:2">
      <c r="B342" s="7" t="s">
        <v>1846</v>
      </c>
    </row>
    <row r="343" spans="2:2">
      <c r="B343" s="7" t="s">
        <v>1847</v>
      </c>
    </row>
    <row r="344" spans="2:2">
      <c r="B344" s="7" t="s">
        <v>1848</v>
      </c>
    </row>
    <row r="345" spans="2:2">
      <c r="B345" s="7" t="s">
        <v>1849</v>
      </c>
    </row>
    <row r="346" spans="2:2">
      <c r="B346" s="7" t="s">
        <v>1850</v>
      </c>
    </row>
    <row r="347" spans="2:2">
      <c r="B347" s="7" t="s">
        <v>1851</v>
      </c>
    </row>
    <row r="348" spans="2:2">
      <c r="B348" s="7" t="s">
        <v>1852</v>
      </c>
    </row>
    <row r="349" spans="2:2">
      <c r="B349" s="7" t="s">
        <v>1853</v>
      </c>
    </row>
    <row r="350" spans="2:2">
      <c r="B350" s="7" t="s">
        <v>1854</v>
      </c>
    </row>
    <row r="351" spans="2:2">
      <c r="B351" s="222" t="s">
        <v>1855</v>
      </c>
    </row>
    <row r="352" spans="2:2">
      <c r="B352" s="222" t="s">
        <v>1856</v>
      </c>
    </row>
    <row r="353" spans="2:2">
      <c r="B353" s="222" t="s">
        <v>1857</v>
      </c>
    </row>
    <row r="354" spans="2:2">
      <c r="B354" s="222" t="s">
        <v>1858</v>
      </c>
    </row>
    <row r="355" spans="2:2">
      <c r="B355" s="222" t="s">
        <v>1859</v>
      </c>
    </row>
    <row r="356" spans="2:2">
      <c r="B356" s="222" t="s">
        <v>1860</v>
      </c>
    </row>
    <row r="357" spans="2:2">
      <c r="B357" s="222" t="s">
        <v>1861</v>
      </c>
    </row>
    <row r="358" spans="2:2">
      <c r="B358" s="222" t="s">
        <v>1862</v>
      </c>
    </row>
    <row r="359" spans="2:2">
      <c r="B359" s="222" t="s">
        <v>1863</v>
      </c>
    </row>
    <row r="360" spans="2:2">
      <c r="B360" s="222" t="s">
        <v>1864</v>
      </c>
    </row>
    <row r="361" spans="2:2">
      <c r="B361" s="222" t="s">
        <v>1865</v>
      </c>
    </row>
    <row r="362" spans="2:2">
      <c r="B362" s="7" t="s">
        <v>1866</v>
      </c>
    </row>
    <row r="363" spans="2:2">
      <c r="B363" s="7" t="s">
        <v>1867</v>
      </c>
    </row>
    <row r="364" spans="2:2">
      <c r="B364" s="7" t="s">
        <v>1868</v>
      </c>
    </row>
    <row r="365" spans="2:2">
      <c r="B365" s="7" t="s">
        <v>1869</v>
      </c>
    </row>
    <row r="366" spans="2:2">
      <c r="B366" s="7" t="s">
        <v>1870</v>
      </c>
    </row>
    <row r="367" spans="2:2">
      <c r="B367" s="7" t="s">
        <v>1871</v>
      </c>
    </row>
    <row r="368" spans="2:2">
      <c r="B368" s="7" t="s">
        <v>1872</v>
      </c>
    </row>
    <row r="369" spans="2:2">
      <c r="B369" s="7" t="s">
        <v>1873</v>
      </c>
    </row>
    <row r="370" spans="2:2">
      <c r="B370" s="7" t="s">
        <v>1874</v>
      </c>
    </row>
    <row r="371" spans="2:2">
      <c r="B371" s="7" t="s">
        <v>1875</v>
      </c>
    </row>
    <row r="372" spans="2:2">
      <c r="B372" s="7" t="s">
        <v>1876</v>
      </c>
    </row>
    <row r="373" spans="2:2">
      <c r="B373" s="7" t="s">
        <v>1877</v>
      </c>
    </row>
    <row r="374" spans="2:2">
      <c r="B374" s="7" t="s">
        <v>1878</v>
      </c>
    </row>
    <row r="375" spans="2:2">
      <c r="B375" s="7" t="s">
        <v>1879</v>
      </c>
    </row>
    <row r="376" spans="2:2">
      <c r="B376" s="7" t="s">
        <v>1880</v>
      </c>
    </row>
    <row r="377" spans="2:2">
      <c r="B377" s="7" t="s">
        <v>1881</v>
      </c>
    </row>
    <row r="378" spans="2:2">
      <c r="B378" s="7" t="s">
        <v>1882</v>
      </c>
    </row>
    <row r="379" spans="2:2">
      <c r="B379" s="7" t="s">
        <v>1883</v>
      </c>
    </row>
    <row r="380" spans="2:2">
      <c r="B380" s="7" t="s">
        <v>1884</v>
      </c>
    </row>
    <row r="381" spans="2:2">
      <c r="B381" s="7" t="s">
        <v>1885</v>
      </c>
    </row>
    <row r="382" spans="2:2">
      <c r="B382" s="7" t="s">
        <v>1886</v>
      </c>
    </row>
    <row r="383" spans="2:2">
      <c r="B383" s="7" t="s">
        <v>1887</v>
      </c>
    </row>
    <row r="384" spans="2:2">
      <c r="B384" s="7" t="s">
        <v>1888</v>
      </c>
    </row>
    <row r="385" spans="2:2">
      <c r="B385" s="7" t="s">
        <v>1889</v>
      </c>
    </row>
    <row r="386" spans="2:2">
      <c r="B386" s="7" t="s">
        <v>1890</v>
      </c>
    </row>
    <row r="387" spans="2:2">
      <c r="B387" s="7" t="s">
        <v>1891</v>
      </c>
    </row>
    <row r="388" spans="2:2">
      <c r="B388" s="7" t="s">
        <v>1892</v>
      </c>
    </row>
    <row r="389" spans="2:2">
      <c r="B389" s="7" t="s">
        <v>1893</v>
      </c>
    </row>
    <row r="390" spans="2:2">
      <c r="B390" s="7" t="s">
        <v>1894</v>
      </c>
    </row>
    <row r="391" spans="2:2">
      <c r="B391" s="7" t="s">
        <v>1895</v>
      </c>
    </row>
    <row r="392" spans="2:2">
      <c r="B392" s="7" t="s">
        <v>1896</v>
      </c>
    </row>
    <row r="393" spans="2:2">
      <c r="B393" s="7" t="s">
        <v>1897</v>
      </c>
    </row>
    <row r="394" spans="2:2">
      <c r="B394" s="7" t="s">
        <v>1898</v>
      </c>
    </row>
    <row r="395" spans="2:2">
      <c r="B395" s="7" t="s">
        <v>1899</v>
      </c>
    </row>
    <row r="396" spans="2:2">
      <c r="B396" s="7" t="s">
        <v>1900</v>
      </c>
    </row>
    <row r="397" spans="2:2">
      <c r="B397" s="7" t="s">
        <v>1901</v>
      </c>
    </row>
    <row r="398" spans="2:2">
      <c r="B398" s="7" t="s">
        <v>1902</v>
      </c>
    </row>
    <row r="399" spans="2:2">
      <c r="B399" s="7" t="s">
        <v>1903</v>
      </c>
    </row>
    <row r="400" spans="2:2">
      <c r="B400" s="7" t="s">
        <v>1904</v>
      </c>
    </row>
    <row r="401" spans="2:2">
      <c r="B401" s="7" t="s">
        <v>1905</v>
      </c>
    </row>
    <row r="402" spans="2:2">
      <c r="B402" s="7" t="s">
        <v>1906</v>
      </c>
    </row>
    <row r="403" spans="2:2">
      <c r="B403" s="7" t="s">
        <v>1907</v>
      </c>
    </row>
    <row r="404" spans="2:2">
      <c r="B404" s="7" t="s">
        <v>1908</v>
      </c>
    </row>
    <row r="405" spans="2:2">
      <c r="B405" s="7" t="s">
        <v>1909</v>
      </c>
    </row>
    <row r="406" spans="2:2">
      <c r="B406" s="7" t="s">
        <v>1910</v>
      </c>
    </row>
    <row r="407" spans="2:2">
      <c r="B407" s="7" t="s">
        <v>1911</v>
      </c>
    </row>
    <row r="408" spans="2:2">
      <c r="B408" s="7" t="s">
        <v>1912</v>
      </c>
    </row>
    <row r="409" spans="2:2">
      <c r="B409" s="7" t="s">
        <v>1913</v>
      </c>
    </row>
    <row r="410" spans="2:2">
      <c r="B410" s="7" t="s">
        <v>1914</v>
      </c>
    </row>
    <row r="411" spans="2:2">
      <c r="B411" s="7" t="s">
        <v>1915</v>
      </c>
    </row>
    <row r="412" spans="2:2">
      <c r="B412" s="7" t="s">
        <v>1916</v>
      </c>
    </row>
    <row r="413" spans="2:2">
      <c r="B413" s="7" t="s">
        <v>1917</v>
      </c>
    </row>
    <row r="414" spans="2:2">
      <c r="B414" s="7" t="s">
        <v>1918</v>
      </c>
    </row>
    <row r="415" spans="2:2">
      <c r="B415" s="7" t="s">
        <v>1919</v>
      </c>
    </row>
    <row r="416" spans="2:2">
      <c r="B416" s="7" t="s">
        <v>1920</v>
      </c>
    </row>
    <row r="417" spans="2:2">
      <c r="B417" s="7" t="s">
        <v>1921</v>
      </c>
    </row>
    <row r="418" spans="2:2">
      <c r="B418" s="7" t="s">
        <v>1922</v>
      </c>
    </row>
    <row r="419" spans="2:2">
      <c r="B419" s="7" t="s">
        <v>1923</v>
      </c>
    </row>
    <row r="420" spans="2:2">
      <c r="B420" s="7" t="s">
        <v>1924</v>
      </c>
    </row>
    <row r="421" spans="2:2">
      <c r="B421" s="7" t="s">
        <v>1925</v>
      </c>
    </row>
    <row r="422" spans="2:2">
      <c r="B422" s="7" t="s">
        <v>1926</v>
      </c>
    </row>
    <row r="423" spans="2:2">
      <c r="B423" s="7" t="s">
        <v>1927</v>
      </c>
    </row>
    <row r="424" spans="2:2">
      <c r="B424" s="7" t="s">
        <v>1928</v>
      </c>
    </row>
    <row r="425" spans="2:2">
      <c r="B425" s="7" t="s">
        <v>1929</v>
      </c>
    </row>
    <row r="426" spans="2:2">
      <c r="B426" s="7" t="s">
        <v>1930</v>
      </c>
    </row>
    <row r="427" spans="2:2">
      <c r="B427" s="7" t="s">
        <v>1931</v>
      </c>
    </row>
    <row r="428" spans="2:2">
      <c r="B428" s="7" t="s">
        <v>1932</v>
      </c>
    </row>
    <row r="429" spans="2:2">
      <c r="B429" s="7" t="s">
        <v>1933</v>
      </c>
    </row>
    <row r="430" spans="2:2">
      <c r="B430" s="7" t="s">
        <v>1934</v>
      </c>
    </row>
    <row r="431" spans="2:2">
      <c r="B431" s="7" t="s">
        <v>1935</v>
      </c>
    </row>
    <row r="432" spans="2:2">
      <c r="B432" s="7" t="s">
        <v>1936</v>
      </c>
    </row>
    <row r="433" spans="2:2">
      <c r="B433" s="7" t="s">
        <v>1937</v>
      </c>
    </row>
    <row r="434" spans="2:2">
      <c r="B434" s="7" t="s">
        <v>1938</v>
      </c>
    </row>
    <row r="435" spans="2:2">
      <c r="B435" s="7" t="s">
        <v>1939</v>
      </c>
    </row>
    <row r="436" spans="2:2">
      <c r="B436" s="7" t="s">
        <v>1940</v>
      </c>
    </row>
    <row r="437" spans="2:2">
      <c r="B437" s="7" t="s">
        <v>1941</v>
      </c>
    </row>
    <row r="438" spans="2:2">
      <c r="B438" s="7" t="s">
        <v>1942</v>
      </c>
    </row>
    <row r="439" spans="2:2">
      <c r="B439" s="7" t="s">
        <v>1943</v>
      </c>
    </row>
    <row r="440" spans="2:2">
      <c r="B440" s="7" t="s">
        <v>1944</v>
      </c>
    </row>
    <row r="441" spans="2:2">
      <c r="B441" s="7" t="s">
        <v>1945</v>
      </c>
    </row>
    <row r="442" spans="2:2">
      <c r="B442" s="7" t="s">
        <v>1946</v>
      </c>
    </row>
    <row r="443" spans="2:2">
      <c r="B443" s="7" t="s">
        <v>1947</v>
      </c>
    </row>
    <row r="444" spans="2:2">
      <c r="B444" s="7" t="s">
        <v>1948</v>
      </c>
    </row>
    <row r="445" spans="2:2">
      <c r="B445" s="7" t="s">
        <v>1949</v>
      </c>
    </row>
    <row r="446" spans="2:2">
      <c r="B446" s="7" t="s">
        <v>1950</v>
      </c>
    </row>
    <row r="447" spans="2:2">
      <c r="B447" s="7" t="s">
        <v>1951</v>
      </c>
    </row>
    <row r="448" spans="2:2">
      <c r="B448" s="7" t="s">
        <v>1952</v>
      </c>
    </row>
    <row r="449" spans="2:2">
      <c r="B449" s="7" t="s">
        <v>1953</v>
      </c>
    </row>
    <row r="450" spans="2:2">
      <c r="B450" s="7" t="s">
        <v>1954</v>
      </c>
    </row>
    <row r="451" spans="2:2">
      <c r="B451" s="7" t="s">
        <v>1955</v>
      </c>
    </row>
    <row r="452" spans="2:2">
      <c r="B452" s="7" t="s">
        <v>1956</v>
      </c>
    </row>
    <row r="453" spans="2:2">
      <c r="B453" s="7" t="s">
        <v>1957</v>
      </c>
    </row>
    <row r="454" spans="2:2">
      <c r="B454" s="7" t="s">
        <v>1958</v>
      </c>
    </row>
    <row r="455" spans="2:2">
      <c r="B455" s="7" t="s">
        <v>1959</v>
      </c>
    </row>
    <row r="456" spans="2:2">
      <c r="B456" s="7" t="s">
        <v>1960</v>
      </c>
    </row>
    <row r="457" spans="2:2">
      <c r="B457" s="7" t="s">
        <v>1961</v>
      </c>
    </row>
    <row r="458" spans="2:2">
      <c r="B458" s="7" t="s">
        <v>1962</v>
      </c>
    </row>
    <row r="459" spans="2:2">
      <c r="B459" s="7" t="s">
        <v>1963</v>
      </c>
    </row>
    <row r="460" spans="2:2">
      <c r="B460" s="7" t="s">
        <v>1964</v>
      </c>
    </row>
    <row r="461" spans="2:2">
      <c r="B461" s="7" t="s">
        <v>1965</v>
      </c>
    </row>
    <row r="462" spans="2:2">
      <c r="B462" s="7" t="s">
        <v>1966</v>
      </c>
    </row>
    <row r="463" spans="2:2">
      <c r="B463" s="7" t="s">
        <v>1967</v>
      </c>
    </row>
    <row r="464" spans="2:2">
      <c r="B464" s="7" t="s">
        <v>1968</v>
      </c>
    </row>
    <row r="465" spans="2:2">
      <c r="B465" s="7" t="s">
        <v>1969</v>
      </c>
    </row>
    <row r="466" spans="2:2">
      <c r="B466" s="7" t="s">
        <v>1970</v>
      </c>
    </row>
    <row r="467" spans="2:2">
      <c r="B467" s="7" t="s">
        <v>1971</v>
      </c>
    </row>
    <row r="468" spans="2:2">
      <c r="B468" s="7" t="s">
        <v>1972</v>
      </c>
    </row>
    <row r="469" spans="2:2">
      <c r="B469" s="7" t="s">
        <v>1973</v>
      </c>
    </row>
    <row r="470" spans="2:2">
      <c r="B470" s="7" t="s">
        <v>1974</v>
      </c>
    </row>
    <row r="471" spans="2:2">
      <c r="B471" s="7" t="s">
        <v>1975</v>
      </c>
    </row>
    <row r="472" spans="2:2">
      <c r="B472" s="7" t="s">
        <v>1976</v>
      </c>
    </row>
    <row r="473" spans="2:2">
      <c r="B473" s="7" t="s">
        <v>1977</v>
      </c>
    </row>
    <row r="474" spans="2:2">
      <c r="B474" s="7" t="s">
        <v>1978</v>
      </c>
    </row>
    <row r="475" spans="2:2">
      <c r="B475" s="7" t="s">
        <v>1979</v>
      </c>
    </row>
    <row r="476" spans="2:2">
      <c r="B476" s="7" t="s">
        <v>1980</v>
      </c>
    </row>
    <row r="477" spans="2:2">
      <c r="B477" s="7" t="s">
        <v>1981</v>
      </c>
    </row>
    <row r="478" spans="2:2">
      <c r="B478" s="7" t="s">
        <v>1982</v>
      </c>
    </row>
    <row r="479" spans="2:2">
      <c r="B479" s="7" t="s">
        <v>1983</v>
      </c>
    </row>
    <row r="480" spans="2:2">
      <c r="B480" s="7" t="s">
        <v>1984</v>
      </c>
    </row>
    <row r="481" spans="2:2">
      <c r="B481" s="7" t="s">
        <v>1985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CEC7E9-A51B-0848-B2C9-AA40960FD6B7}">
  <dimension ref="A1:H10"/>
  <sheetViews>
    <sheetView zoomScale="90" zoomScaleNormal="90" workbookViewId="0">
      <selection activeCell="H13" sqref="H13"/>
    </sheetView>
  </sheetViews>
  <sheetFormatPr defaultColWidth="8.875" defaultRowHeight="15"/>
  <cols>
    <col min="1" max="2" width="12.625" style="7" customWidth="1"/>
    <col min="3" max="3" width="11.625" style="7" customWidth="1"/>
    <col min="4" max="4" width="14.5" style="7" bestFit="1" customWidth="1"/>
    <col min="5" max="5" width="18.5" style="7" bestFit="1" customWidth="1"/>
    <col min="6" max="6" width="70.875" style="7" customWidth="1"/>
    <col min="7" max="7" width="10" style="7" bestFit="1" customWidth="1"/>
    <col min="8" max="8" width="55.875" style="7" customWidth="1"/>
    <col min="9" max="16384" width="8.875" style="7"/>
  </cols>
  <sheetData>
    <row r="1" spans="1:8" ht="39.75" customHeight="1">
      <c r="A1" s="95" t="s">
        <v>0</v>
      </c>
      <c r="B1" s="95" t="s">
        <v>163</v>
      </c>
      <c r="C1" s="96" t="s">
        <v>164</v>
      </c>
      <c r="D1" s="95" t="s">
        <v>3</v>
      </c>
      <c r="E1" s="95" t="s">
        <v>5</v>
      </c>
      <c r="F1" s="53" t="s">
        <v>6</v>
      </c>
      <c r="G1" s="53" t="s">
        <v>7</v>
      </c>
      <c r="H1" s="96" t="s">
        <v>165</v>
      </c>
    </row>
    <row r="2" spans="1:8" ht="30.75" customHeight="1">
      <c r="A2" s="235" t="s">
        <v>202</v>
      </c>
      <c r="B2" s="235"/>
      <c r="C2" s="235"/>
      <c r="D2" s="235"/>
      <c r="E2" s="235"/>
      <c r="F2" s="235"/>
      <c r="G2" s="235"/>
      <c r="H2" s="235"/>
    </row>
    <row r="3" spans="1:8" s="103" customFormat="1" ht="24">
      <c r="A3" s="97" t="s">
        <v>175</v>
      </c>
      <c r="B3" s="97"/>
      <c r="C3" s="98" t="s">
        <v>167</v>
      </c>
      <c r="D3" s="97" t="s">
        <v>203</v>
      </c>
      <c r="E3" s="99" t="s">
        <v>204</v>
      </c>
      <c r="F3" s="100" t="s">
        <v>205</v>
      </c>
      <c r="G3" s="101">
        <f>(SUM(G4)/SUM(G5))</f>
        <v>5</v>
      </c>
      <c r="H3" s="102"/>
    </row>
    <row r="4" spans="1:8" s="103" customFormat="1" ht="51">
      <c r="A4" s="104" t="s">
        <v>175</v>
      </c>
      <c r="B4" s="104"/>
      <c r="C4" s="105" t="s">
        <v>175</v>
      </c>
      <c r="D4" s="104" t="s">
        <v>203</v>
      </c>
      <c r="E4" s="106" t="s">
        <v>206</v>
      </c>
      <c r="F4" s="107" t="s">
        <v>207</v>
      </c>
      <c r="G4" s="108">
        <v>10</v>
      </c>
      <c r="H4" s="109"/>
    </row>
    <row r="5" spans="1:8" s="103" customFormat="1" ht="65.25" customHeight="1">
      <c r="A5" s="104" t="s">
        <v>175</v>
      </c>
      <c r="B5" s="104"/>
      <c r="C5" s="105" t="s">
        <v>175</v>
      </c>
      <c r="D5" s="104" t="s">
        <v>203</v>
      </c>
      <c r="E5" s="106" t="s">
        <v>208</v>
      </c>
      <c r="F5" s="107" t="s">
        <v>209</v>
      </c>
      <c r="G5" s="108">
        <v>2</v>
      </c>
      <c r="H5" s="109"/>
    </row>
    <row r="6" spans="1:8" s="103" customFormat="1" ht="102">
      <c r="A6" s="97" t="s">
        <v>175</v>
      </c>
      <c r="B6" s="97"/>
      <c r="C6" s="97" t="s">
        <v>167</v>
      </c>
      <c r="D6" s="97" t="s">
        <v>210</v>
      </c>
      <c r="E6" s="110" t="s">
        <v>200</v>
      </c>
      <c r="F6" s="111" t="s">
        <v>201</v>
      </c>
      <c r="G6" s="101">
        <f>IF(AND(G3&gt;4,G3&lt;=10),((G7*G8)/1000),0)</f>
        <v>500</v>
      </c>
      <c r="H6" s="100" t="s">
        <v>211</v>
      </c>
    </row>
    <row r="7" spans="1:8" s="103" customFormat="1" ht="33.950000000000003">
      <c r="A7" s="104" t="s">
        <v>175</v>
      </c>
      <c r="B7" s="104"/>
      <c r="C7" s="104" t="s">
        <v>175</v>
      </c>
      <c r="D7" s="104" t="s">
        <v>203</v>
      </c>
      <c r="E7" s="112" t="s">
        <v>212</v>
      </c>
      <c r="F7" s="107" t="s">
        <v>213</v>
      </c>
      <c r="G7" s="108">
        <v>20</v>
      </c>
    </row>
    <row r="8" spans="1:8" s="103" customFormat="1" ht="47.25" customHeight="1">
      <c r="A8" s="104" t="s">
        <v>175</v>
      </c>
      <c r="B8" s="104"/>
      <c r="C8" s="104" t="s">
        <v>175</v>
      </c>
      <c r="D8" s="104" t="s">
        <v>203</v>
      </c>
      <c r="E8" s="112" t="s">
        <v>214</v>
      </c>
      <c r="F8" s="107" t="s">
        <v>215</v>
      </c>
      <c r="G8" s="108">
        <v>25000</v>
      </c>
    </row>
    <row r="9" spans="1:8" ht="26.1">
      <c r="A9" s="113"/>
      <c r="B9" s="113"/>
      <c r="C9" s="56"/>
      <c r="D9" s="113"/>
      <c r="E9" s="114"/>
      <c r="F9" s="115"/>
      <c r="G9" s="9"/>
    </row>
    <row r="10" spans="1:8" ht="26.1">
      <c r="A10" s="113"/>
      <c r="B10" s="113"/>
      <c r="C10" s="56"/>
      <c r="D10" s="113"/>
      <c r="E10" s="114"/>
      <c r="F10" s="115"/>
      <c r="G10" s="9"/>
    </row>
  </sheetData>
  <mergeCells count="1">
    <mergeCell ref="A2:H2"/>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EC219C-3FD0-9542-81CD-7EF8434B5380}">
  <dimension ref="A1:F43"/>
  <sheetViews>
    <sheetView topLeftCell="A9" workbookViewId="0">
      <selection activeCell="B4" sqref="B4"/>
    </sheetView>
  </sheetViews>
  <sheetFormatPr defaultColWidth="8.875" defaultRowHeight="15"/>
  <cols>
    <col min="1" max="1" width="18.125" style="7" bestFit="1" customWidth="1"/>
    <col min="2" max="2" width="18.125" style="7" customWidth="1"/>
    <col min="3" max="3" width="16.125" style="7" bestFit="1" customWidth="1"/>
    <col min="4" max="4" width="48" style="7" customWidth="1"/>
    <col min="5" max="5" width="29.375" style="7" bestFit="1" customWidth="1"/>
    <col min="6" max="6" width="78.875" style="7" customWidth="1"/>
    <col min="7" max="16384" width="8.875" style="7"/>
  </cols>
  <sheetData>
    <row r="1" spans="1:6" ht="18.95">
      <c r="A1" s="52" t="s">
        <v>0</v>
      </c>
      <c r="B1" s="52" t="s">
        <v>3</v>
      </c>
      <c r="C1" s="52" t="s">
        <v>5</v>
      </c>
      <c r="D1" s="53" t="s">
        <v>6</v>
      </c>
      <c r="E1" s="53" t="s">
        <v>2</v>
      </c>
      <c r="F1" s="52" t="s">
        <v>7</v>
      </c>
    </row>
    <row r="2" spans="1:6" s="6" customFormat="1" ht="18.95">
      <c r="A2" s="54"/>
      <c r="B2" s="54"/>
      <c r="C2" s="55"/>
      <c r="D2" s="54" t="s">
        <v>216</v>
      </c>
      <c r="E2" s="55"/>
      <c r="F2" s="55"/>
    </row>
    <row r="3" spans="1:6" s="58" customFormat="1" ht="201" customHeight="1">
      <c r="A3" s="58" t="s">
        <v>9</v>
      </c>
      <c r="B3" s="58" t="s">
        <v>217</v>
      </c>
      <c r="D3" s="59" t="s">
        <v>218</v>
      </c>
      <c r="E3" s="58" t="s">
        <v>10</v>
      </c>
      <c r="F3" s="59" t="s">
        <v>219</v>
      </c>
    </row>
    <row r="4" spans="1:6" s="58" customFormat="1" ht="33">
      <c r="A4" s="58" t="s">
        <v>9</v>
      </c>
      <c r="B4" s="58" t="s">
        <v>220</v>
      </c>
      <c r="D4" s="58" t="s">
        <v>221</v>
      </c>
      <c r="E4" s="58" t="s">
        <v>10</v>
      </c>
      <c r="F4" s="59" t="s">
        <v>222</v>
      </c>
    </row>
    <row r="5" spans="1:6" s="58" customFormat="1" ht="32.1">
      <c r="A5" s="58" t="s">
        <v>9</v>
      </c>
      <c r="B5" s="58" t="s">
        <v>220</v>
      </c>
      <c r="D5" s="58" t="s">
        <v>223</v>
      </c>
      <c r="E5" s="58" t="s">
        <v>10</v>
      </c>
      <c r="F5" s="59" t="s">
        <v>224</v>
      </c>
    </row>
    <row r="6" spans="1:6" s="58" customFormat="1" ht="50.1">
      <c r="A6" s="58" t="s">
        <v>9</v>
      </c>
      <c r="B6" s="58" t="s">
        <v>220</v>
      </c>
      <c r="D6" s="59" t="s">
        <v>225</v>
      </c>
      <c r="E6" s="58" t="s">
        <v>10</v>
      </c>
      <c r="F6" s="59" t="s">
        <v>226</v>
      </c>
    </row>
    <row r="7" spans="1:6" s="58" customFormat="1" ht="153">
      <c r="A7" s="58" t="s">
        <v>9</v>
      </c>
      <c r="B7" s="58" t="s">
        <v>217</v>
      </c>
      <c r="D7" s="59" t="s">
        <v>227</v>
      </c>
      <c r="E7" s="58" t="s">
        <v>10</v>
      </c>
      <c r="F7" s="59" t="s">
        <v>228</v>
      </c>
    </row>
    <row r="8" spans="1:6" s="58" customFormat="1" ht="33">
      <c r="A8" s="58" t="s">
        <v>9</v>
      </c>
      <c r="B8" s="58" t="s">
        <v>220</v>
      </c>
      <c r="D8" s="59" t="s">
        <v>229</v>
      </c>
      <c r="E8" s="58" t="s">
        <v>10</v>
      </c>
      <c r="F8" s="59" t="s">
        <v>222</v>
      </c>
    </row>
    <row r="9" spans="1:6" s="58" customFormat="1" ht="32.1">
      <c r="A9" s="58" t="s">
        <v>9</v>
      </c>
      <c r="B9" s="58" t="s">
        <v>220</v>
      </c>
      <c r="D9" s="59" t="s">
        <v>230</v>
      </c>
      <c r="E9" s="58" t="s">
        <v>10</v>
      </c>
      <c r="F9" s="59" t="s">
        <v>231</v>
      </c>
    </row>
    <row r="10" spans="1:6" s="58" customFormat="1" ht="50.1">
      <c r="A10" s="58" t="s">
        <v>9</v>
      </c>
      <c r="B10" s="58" t="s">
        <v>220</v>
      </c>
      <c r="D10" s="59" t="s">
        <v>225</v>
      </c>
      <c r="E10" s="58" t="s">
        <v>10</v>
      </c>
      <c r="F10" s="59" t="s">
        <v>226</v>
      </c>
    </row>
    <row r="11" spans="1:6" s="10" customFormat="1" ht="15.95">
      <c r="A11" s="10" t="s">
        <v>10</v>
      </c>
      <c r="B11" s="10" t="s">
        <v>232</v>
      </c>
      <c r="D11" s="12" t="s">
        <v>233</v>
      </c>
      <c r="E11" s="10" t="s">
        <v>10</v>
      </c>
      <c r="F11" s="65" t="s">
        <v>234</v>
      </c>
    </row>
    <row r="12" spans="1:6" s="6" customFormat="1" ht="18.95">
      <c r="A12" s="54"/>
      <c r="B12" s="54"/>
      <c r="C12" s="55"/>
      <c r="D12" s="54" t="s">
        <v>235</v>
      </c>
      <c r="E12" s="55"/>
      <c r="F12" s="55"/>
    </row>
    <row r="13" spans="1:6" s="10" customFormat="1" ht="32.1">
      <c r="A13" s="10" t="s">
        <v>10</v>
      </c>
      <c r="B13" s="10" t="s">
        <v>232</v>
      </c>
      <c r="C13" s="10" t="s">
        <v>236</v>
      </c>
      <c r="D13" s="12" t="s">
        <v>237</v>
      </c>
      <c r="E13" s="10" t="s">
        <v>10</v>
      </c>
      <c r="F13" s="17" t="e">
        <f>SUM(F16*F19*(1+F22))</f>
        <v>#VALUE!</v>
      </c>
    </row>
    <row r="14" spans="1:6" s="10" customFormat="1" ht="32.1">
      <c r="A14" s="10" t="s">
        <v>10</v>
      </c>
      <c r="B14" s="10" t="s">
        <v>232</v>
      </c>
      <c r="C14" s="10" t="s">
        <v>238</v>
      </c>
      <c r="D14" s="12" t="s">
        <v>239</v>
      </c>
      <c r="E14" s="10" t="s">
        <v>10</v>
      </c>
      <c r="F14" s="17" t="e">
        <f>SUM(F17*F20*(1+F23))</f>
        <v>#VALUE!</v>
      </c>
    </row>
    <row r="15" spans="1:6" s="10" customFormat="1" ht="32.1">
      <c r="A15" s="10" t="s">
        <v>10</v>
      </c>
      <c r="B15" s="10" t="s">
        <v>232</v>
      </c>
      <c r="C15" s="10" t="s">
        <v>240</v>
      </c>
      <c r="D15" s="12" t="s">
        <v>241</v>
      </c>
      <c r="E15" s="10" t="s">
        <v>10</v>
      </c>
      <c r="F15" s="17" t="e">
        <f>SUM(F18*F21*(1+F24))</f>
        <v>#VALUE!</v>
      </c>
    </row>
    <row r="16" spans="1:6" ht="32.1">
      <c r="A16" s="7" t="s">
        <v>9</v>
      </c>
      <c r="B16" s="7" t="s">
        <v>176</v>
      </c>
      <c r="C16" s="7" t="s">
        <v>242</v>
      </c>
      <c r="D16" s="8" t="s">
        <v>243</v>
      </c>
      <c r="E16" s="7" t="s">
        <v>9</v>
      </c>
    </row>
    <row r="17" spans="1:6" ht="32.1">
      <c r="A17" s="7" t="s">
        <v>9</v>
      </c>
      <c r="B17" s="7" t="s">
        <v>176</v>
      </c>
      <c r="C17" s="7" t="s">
        <v>244</v>
      </c>
      <c r="D17" s="8" t="s">
        <v>245</v>
      </c>
      <c r="E17" s="7" t="s">
        <v>9</v>
      </c>
    </row>
    <row r="18" spans="1:6" ht="32.1">
      <c r="A18" s="7" t="s">
        <v>9</v>
      </c>
      <c r="B18" s="7" t="s">
        <v>176</v>
      </c>
      <c r="C18" s="7" t="s">
        <v>246</v>
      </c>
      <c r="D18" s="8" t="s">
        <v>247</v>
      </c>
      <c r="E18" s="7" t="s">
        <v>9</v>
      </c>
    </row>
    <row r="19" spans="1:6" s="10" customFormat="1" ht="32.1">
      <c r="A19" s="10" t="s">
        <v>10</v>
      </c>
      <c r="B19" s="10" t="s">
        <v>232</v>
      </c>
      <c r="C19" s="10" t="s">
        <v>248</v>
      </c>
      <c r="D19" s="12" t="s">
        <v>249</v>
      </c>
      <c r="E19" s="10" t="s">
        <v>10</v>
      </c>
      <c r="F19" s="12" t="s">
        <v>250</v>
      </c>
    </row>
    <row r="20" spans="1:6" s="10" customFormat="1" ht="32.1">
      <c r="A20" s="10" t="s">
        <v>10</v>
      </c>
      <c r="B20" s="10" t="s">
        <v>232</v>
      </c>
      <c r="C20" s="10" t="s">
        <v>251</v>
      </c>
      <c r="D20" s="12" t="s">
        <v>252</v>
      </c>
      <c r="E20" s="10" t="s">
        <v>10</v>
      </c>
      <c r="F20" s="12" t="s">
        <v>253</v>
      </c>
    </row>
    <row r="21" spans="1:6" s="10" customFormat="1" ht="32.1">
      <c r="A21" s="10" t="s">
        <v>10</v>
      </c>
      <c r="B21" s="10" t="s">
        <v>232</v>
      </c>
      <c r="C21" s="10" t="s">
        <v>254</v>
      </c>
      <c r="D21" s="12" t="s">
        <v>255</v>
      </c>
      <c r="E21" s="10" t="s">
        <v>10</v>
      </c>
      <c r="F21" s="12" t="s">
        <v>250</v>
      </c>
    </row>
    <row r="22" spans="1:6" ht="32.1">
      <c r="A22" s="7" t="s">
        <v>9</v>
      </c>
      <c r="B22" s="7" t="s">
        <v>176</v>
      </c>
      <c r="C22" s="7" t="s">
        <v>256</v>
      </c>
      <c r="D22" s="8" t="s">
        <v>257</v>
      </c>
      <c r="E22" s="7" t="s">
        <v>9</v>
      </c>
    </row>
    <row r="23" spans="1:6" ht="32.1">
      <c r="A23" s="7" t="s">
        <v>9</v>
      </c>
      <c r="B23" s="7" t="s">
        <v>176</v>
      </c>
      <c r="C23" s="7" t="s">
        <v>258</v>
      </c>
      <c r="D23" s="8" t="s">
        <v>259</v>
      </c>
      <c r="E23" s="7" t="s">
        <v>9</v>
      </c>
    </row>
    <row r="24" spans="1:6" ht="32.1">
      <c r="A24" s="7" t="s">
        <v>9</v>
      </c>
      <c r="B24" s="7" t="s">
        <v>176</v>
      </c>
      <c r="C24" s="7" t="s">
        <v>260</v>
      </c>
      <c r="D24" s="8" t="s">
        <v>261</v>
      </c>
      <c r="E24" s="7" t="s">
        <v>9</v>
      </c>
    </row>
    <row r="25" spans="1:6">
      <c r="A25" s="7" t="s">
        <v>9</v>
      </c>
      <c r="B25" s="7" t="s">
        <v>11</v>
      </c>
      <c r="C25" s="7" t="s">
        <v>119</v>
      </c>
      <c r="D25" s="7" t="s">
        <v>262</v>
      </c>
      <c r="E25" s="7" t="s">
        <v>9</v>
      </c>
    </row>
    <row r="26" spans="1:6">
      <c r="A26" s="7" t="s">
        <v>9</v>
      </c>
      <c r="B26" s="7" t="s">
        <v>11</v>
      </c>
      <c r="C26" s="7" t="s">
        <v>263</v>
      </c>
      <c r="D26" s="7" t="s">
        <v>264</v>
      </c>
      <c r="E26" s="7" t="s">
        <v>9</v>
      </c>
    </row>
    <row r="27" spans="1:6">
      <c r="A27" s="7" t="s">
        <v>9</v>
      </c>
      <c r="B27" s="7" t="s">
        <v>11</v>
      </c>
      <c r="C27" s="7" t="s">
        <v>265</v>
      </c>
      <c r="D27" s="7" t="s">
        <v>266</v>
      </c>
      <c r="E27" s="7" t="s">
        <v>9</v>
      </c>
    </row>
    <row r="28" spans="1:6" s="6" customFormat="1" ht="18.95">
      <c r="A28" s="54"/>
      <c r="B28" s="54"/>
      <c r="C28" s="55"/>
      <c r="D28" s="54" t="s">
        <v>267</v>
      </c>
      <c r="E28" s="55"/>
      <c r="F28" s="55"/>
    </row>
    <row r="29" spans="1:6" s="10" customFormat="1" ht="32.1">
      <c r="A29" s="10" t="s">
        <v>10</v>
      </c>
      <c r="B29" s="10" t="s">
        <v>232</v>
      </c>
      <c r="D29" s="12" t="s">
        <v>268</v>
      </c>
      <c r="E29" s="10" t="s">
        <v>10</v>
      </c>
      <c r="F29" s="17">
        <v>1.3</v>
      </c>
    </row>
    <row r="30" spans="1:6" s="10" customFormat="1" ht="32.1">
      <c r="A30" s="10" t="s">
        <v>10</v>
      </c>
      <c r="B30" s="10" t="s">
        <v>232</v>
      </c>
      <c r="D30" s="12" t="s">
        <v>269</v>
      </c>
      <c r="E30" s="10" t="s">
        <v>10</v>
      </c>
      <c r="F30" s="17">
        <v>0.4</v>
      </c>
    </row>
    <row r="31" spans="1:6" s="6" customFormat="1" ht="18.95">
      <c r="A31" s="54"/>
      <c r="B31" s="54"/>
      <c r="C31" s="55"/>
      <c r="D31" s="54" t="s">
        <v>270</v>
      </c>
      <c r="E31" s="55"/>
      <c r="F31" s="55"/>
    </row>
    <row r="32" spans="1:6" s="10" customFormat="1" ht="48">
      <c r="A32" s="10" t="s">
        <v>10</v>
      </c>
      <c r="B32" s="10" t="s">
        <v>232</v>
      </c>
      <c r="C32" s="10" t="s">
        <v>271</v>
      </c>
      <c r="D32" s="12" t="s">
        <v>272</v>
      </c>
      <c r="E32" s="10" t="s">
        <v>10</v>
      </c>
      <c r="F32" s="17" t="e">
        <f>SUM('[2]Tool 05 Power Plants'!F4,'[2]Tool 05 Power Plants'!F16)</f>
        <v>#REF!</v>
      </c>
    </row>
    <row r="33" spans="1:6" s="10" customFormat="1" ht="48">
      <c r="A33" s="10" t="s">
        <v>10</v>
      </c>
      <c r="B33" s="10" t="s">
        <v>232</v>
      </c>
      <c r="C33" s="10" t="s">
        <v>271</v>
      </c>
      <c r="D33" s="12" t="s">
        <v>273</v>
      </c>
      <c r="E33" s="10" t="s">
        <v>10</v>
      </c>
      <c r="F33" s="17" t="e">
        <f>SUM('[2]Tool 05 Power Plants'!F5,'[2]Tool 05 Power Plants'!F17)</f>
        <v>#REF!</v>
      </c>
    </row>
    <row r="34" spans="1:6" s="6" customFormat="1" ht="18.95">
      <c r="A34" s="54"/>
      <c r="B34" s="54"/>
      <c r="C34" s="55"/>
      <c r="D34" s="54" t="s">
        <v>274</v>
      </c>
      <c r="E34" s="55"/>
      <c r="F34" s="55"/>
    </row>
    <row r="35" spans="1:6" s="10" customFormat="1" ht="32.1">
      <c r="A35" s="10" t="s">
        <v>10</v>
      </c>
      <c r="B35" s="10" t="s">
        <v>232</v>
      </c>
      <c r="D35" s="12" t="s">
        <v>268</v>
      </c>
      <c r="E35" s="10" t="s">
        <v>10</v>
      </c>
      <c r="F35" s="17">
        <v>1.3</v>
      </c>
    </row>
    <row r="36" spans="1:6" s="10" customFormat="1" ht="32.1">
      <c r="A36" s="10" t="s">
        <v>10</v>
      </c>
      <c r="B36" s="10" t="s">
        <v>232</v>
      </c>
      <c r="D36" s="12" t="s">
        <v>269</v>
      </c>
      <c r="E36" s="10" t="s">
        <v>10</v>
      </c>
      <c r="F36" s="17">
        <v>0.4</v>
      </c>
    </row>
    <row r="37" spans="1:6" s="6" customFormat="1" ht="18.95">
      <c r="A37" s="54" t="s">
        <v>275</v>
      </c>
      <c r="B37" s="54"/>
      <c r="C37" s="55"/>
      <c r="D37" s="54" t="s">
        <v>276</v>
      </c>
      <c r="E37" s="55"/>
      <c r="F37" s="55"/>
    </row>
    <row r="38" spans="1:6" s="10" customFormat="1" ht="32.1">
      <c r="A38" s="10" t="s">
        <v>10</v>
      </c>
      <c r="B38" s="10" t="s">
        <v>232</v>
      </c>
      <c r="D38" s="12" t="s">
        <v>277</v>
      </c>
      <c r="E38" s="10" t="s">
        <v>10</v>
      </c>
      <c r="F38" s="17">
        <f>11400*1.3*F40</f>
        <v>0</v>
      </c>
    </row>
    <row r="39" spans="1:6" s="10" customFormat="1" ht="32.1">
      <c r="A39" s="10" t="s">
        <v>10</v>
      </c>
      <c r="B39" s="10" t="s">
        <v>232</v>
      </c>
      <c r="D39" s="12" t="s">
        <v>278</v>
      </c>
      <c r="E39" s="10" t="s">
        <v>10</v>
      </c>
      <c r="F39" s="17">
        <f>11400*1.3*F41</f>
        <v>0</v>
      </c>
    </row>
    <row r="40" spans="1:6" ht="48">
      <c r="A40" s="7" t="s">
        <v>10</v>
      </c>
      <c r="B40" s="7" t="s">
        <v>176</v>
      </c>
      <c r="D40" s="8" t="s">
        <v>279</v>
      </c>
      <c r="E40" s="7" t="s">
        <v>9</v>
      </c>
    </row>
    <row r="41" spans="1:6" ht="48">
      <c r="A41" s="7" t="s">
        <v>10</v>
      </c>
      <c r="B41" s="7" t="s">
        <v>176</v>
      </c>
      <c r="D41" s="8" t="s">
        <v>280</v>
      </c>
      <c r="E41" s="7" t="s">
        <v>9</v>
      </c>
    </row>
    <row r="42" spans="1:6">
      <c r="D42" s="8"/>
    </row>
    <row r="43" spans="1:6">
      <c r="D43" s="8"/>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E11D7-F588-5249-A096-432E706ACC05}">
  <dimension ref="A1:F25"/>
  <sheetViews>
    <sheetView workbookViewId="0">
      <selection activeCell="A3" sqref="A3:XFD3"/>
    </sheetView>
  </sheetViews>
  <sheetFormatPr defaultColWidth="8.875" defaultRowHeight="15"/>
  <cols>
    <col min="1" max="1" width="18.125" style="7" bestFit="1" customWidth="1"/>
    <col min="2" max="2" width="16.125" style="7" bestFit="1" customWidth="1"/>
    <col min="3" max="3" width="13.5" style="7" bestFit="1" customWidth="1"/>
    <col min="4" max="4" width="42.875" style="7" customWidth="1"/>
    <col min="5" max="5" width="29.375" style="7" bestFit="1" customWidth="1"/>
    <col min="6" max="6" width="49.375" style="7" customWidth="1"/>
    <col min="7" max="16384" width="8.875" style="7"/>
  </cols>
  <sheetData>
    <row r="1" spans="1:6" ht="18.95">
      <c r="A1" s="52" t="s">
        <v>0</v>
      </c>
      <c r="B1" s="52" t="s">
        <v>3</v>
      </c>
      <c r="C1" s="52" t="s">
        <v>5</v>
      </c>
      <c r="D1" s="53" t="s">
        <v>6</v>
      </c>
      <c r="E1" s="53" t="s">
        <v>2</v>
      </c>
      <c r="F1" s="52" t="s">
        <v>7</v>
      </c>
    </row>
    <row r="2" spans="1:6" s="6" customFormat="1" ht="18.95">
      <c r="A2" s="54"/>
      <c r="B2" s="54"/>
      <c r="C2" s="55"/>
      <c r="D2" s="54" t="s">
        <v>281</v>
      </c>
      <c r="E2" s="55"/>
      <c r="F2" s="55"/>
    </row>
    <row r="3" spans="1:6">
      <c r="A3" s="56" t="s">
        <v>9</v>
      </c>
      <c r="B3" s="56" t="s">
        <v>11</v>
      </c>
      <c r="C3" s="57"/>
      <c r="D3" s="56" t="s">
        <v>282</v>
      </c>
      <c r="E3" s="56" t="s">
        <v>9</v>
      </c>
      <c r="F3" s="56" t="s">
        <v>283</v>
      </c>
    </row>
    <row r="4" spans="1:6" s="10" customFormat="1" ht="48">
      <c r="A4" s="10" t="s">
        <v>10</v>
      </c>
      <c r="B4" s="10" t="s">
        <v>284</v>
      </c>
      <c r="C4" s="10" t="s">
        <v>271</v>
      </c>
      <c r="D4" s="12" t="s">
        <v>272</v>
      </c>
      <c r="E4" s="10" t="s">
        <v>10</v>
      </c>
      <c r="F4" s="17" t="e">
        <f>(F7*F8*F9)/F10</f>
        <v>#REF!</v>
      </c>
    </row>
    <row r="5" spans="1:6" s="10" customFormat="1" ht="48">
      <c r="A5" s="10" t="s">
        <v>10</v>
      </c>
      <c r="B5" s="10" t="s">
        <v>284</v>
      </c>
      <c r="C5" s="10" t="s">
        <v>271</v>
      </c>
      <c r="D5" s="12" t="s">
        <v>273</v>
      </c>
      <c r="E5" s="10" t="s">
        <v>10</v>
      </c>
      <c r="F5" s="17" t="e">
        <f>ABS(((F7*F8)-(F11/F12))*F9)/F10</f>
        <v>#REF!</v>
      </c>
    </row>
    <row r="6" spans="1:6" s="58" customFormat="1" ht="15.95">
      <c r="A6" s="58" t="s">
        <v>9</v>
      </c>
      <c r="B6" s="58" t="s">
        <v>285</v>
      </c>
      <c r="D6" s="59" t="s">
        <v>286</v>
      </c>
      <c r="E6" s="58" t="s">
        <v>10</v>
      </c>
      <c r="F6" s="59" t="s">
        <v>287</v>
      </c>
    </row>
    <row r="7" spans="1:6" ht="48">
      <c r="A7" s="7" t="s">
        <v>9</v>
      </c>
      <c r="B7" s="7" t="s">
        <v>176</v>
      </c>
      <c r="C7" s="7" t="s">
        <v>288</v>
      </c>
      <c r="D7" s="8" t="s">
        <v>289</v>
      </c>
      <c r="E7" s="7" t="s">
        <v>9</v>
      </c>
      <c r="F7" s="7">
        <v>2</v>
      </c>
    </row>
    <row r="8" spans="1:6" s="10" customFormat="1" ht="32.1">
      <c r="A8" s="10" t="s">
        <v>10</v>
      </c>
      <c r="B8" s="10" t="s">
        <v>284</v>
      </c>
      <c r="C8" s="10" t="s">
        <v>290</v>
      </c>
      <c r="D8" s="12" t="s">
        <v>291</v>
      </c>
      <c r="E8" s="10" t="s">
        <v>10</v>
      </c>
      <c r="F8" s="17" t="e">
        <f>'[2]Tool 05 Avg Net Calorific V'!C4</f>
        <v>#REF!</v>
      </c>
    </row>
    <row r="9" spans="1:6" s="10" customFormat="1" ht="32.1">
      <c r="A9" s="10" t="s">
        <v>10</v>
      </c>
      <c r="B9" s="10" t="s">
        <v>284</v>
      </c>
      <c r="C9" s="10" t="s">
        <v>292</v>
      </c>
      <c r="D9" s="12" t="s">
        <v>293</v>
      </c>
      <c r="E9" s="10" t="s">
        <v>10</v>
      </c>
      <c r="F9" s="17" t="e">
        <f>'[2]Tool 05 Fuel Type Emission'!C4*0.001</f>
        <v>#REF!</v>
      </c>
    </row>
    <row r="10" spans="1:6" ht="48">
      <c r="A10" s="7" t="s">
        <v>9</v>
      </c>
      <c r="B10" s="7" t="s">
        <v>176</v>
      </c>
      <c r="C10" s="7" t="s">
        <v>294</v>
      </c>
      <c r="D10" s="8" t="s">
        <v>295</v>
      </c>
      <c r="E10" s="7" t="s">
        <v>9</v>
      </c>
      <c r="F10" s="9">
        <v>10000</v>
      </c>
    </row>
    <row r="11" spans="1:6" ht="93.75" customHeight="1">
      <c r="A11" s="7" t="s">
        <v>9</v>
      </c>
      <c r="C11" s="7" t="s">
        <v>296</v>
      </c>
      <c r="D11" s="8" t="s">
        <v>297</v>
      </c>
      <c r="E11" s="7" t="s">
        <v>9</v>
      </c>
      <c r="F11" s="9">
        <v>2</v>
      </c>
    </row>
    <row r="12" spans="1:6" s="10" customFormat="1" ht="48">
      <c r="A12" s="10" t="s">
        <v>10</v>
      </c>
      <c r="B12" s="10" t="s">
        <v>284</v>
      </c>
      <c r="C12" s="10" t="s">
        <v>298</v>
      </c>
      <c r="D12" s="12" t="s">
        <v>299</v>
      </c>
      <c r="E12" s="10" t="s">
        <v>10</v>
      </c>
      <c r="F12" s="17">
        <v>1</v>
      </c>
    </row>
    <row r="13" spans="1:6" s="10" customFormat="1" ht="48">
      <c r="A13" s="10" t="s">
        <v>10</v>
      </c>
      <c r="B13" s="10" t="s">
        <v>284</v>
      </c>
      <c r="C13" s="10" t="s">
        <v>298</v>
      </c>
      <c r="D13" s="12" t="s">
        <v>300</v>
      </c>
      <c r="E13" s="10" t="s">
        <v>10</v>
      </c>
      <c r="F13" s="17">
        <v>0.6</v>
      </c>
    </row>
    <row r="14" spans="1:6" s="6" customFormat="1" ht="18.95">
      <c r="A14" s="54"/>
      <c r="B14" s="54"/>
      <c r="C14" s="55"/>
      <c r="D14" s="54" t="s">
        <v>281</v>
      </c>
      <c r="E14" s="55"/>
      <c r="F14" s="55"/>
    </row>
    <row r="15" spans="1:6">
      <c r="A15" s="56" t="s">
        <v>9</v>
      </c>
      <c r="B15" s="56" t="s">
        <v>11</v>
      </c>
      <c r="C15" s="56"/>
      <c r="D15" s="56" t="s">
        <v>282</v>
      </c>
      <c r="E15" s="56" t="s">
        <v>9</v>
      </c>
      <c r="F15" s="56" t="s">
        <v>301</v>
      </c>
    </row>
    <row r="16" spans="1:6" s="10" customFormat="1" ht="48">
      <c r="A16" s="10" t="s">
        <v>10</v>
      </c>
      <c r="B16" s="10" t="s">
        <v>284</v>
      </c>
      <c r="C16" s="10" t="s">
        <v>271</v>
      </c>
      <c r="D16" s="12" t="s">
        <v>272</v>
      </c>
      <c r="E16" s="10" t="s">
        <v>10</v>
      </c>
      <c r="F16" s="17" t="e">
        <f>(F19*F20*F21)/F22</f>
        <v>#REF!</v>
      </c>
    </row>
    <row r="17" spans="1:6" s="10" customFormat="1" ht="48">
      <c r="A17" s="10" t="s">
        <v>10</v>
      </c>
      <c r="B17" s="10" t="s">
        <v>284</v>
      </c>
      <c r="C17" s="10" t="s">
        <v>271</v>
      </c>
      <c r="D17" s="12" t="s">
        <v>273</v>
      </c>
      <c r="E17" s="10" t="s">
        <v>10</v>
      </c>
      <c r="F17" s="17" t="e">
        <f>ABS(((F19*F20)-(F23/F24))*F21)/F22</f>
        <v>#REF!</v>
      </c>
    </row>
    <row r="18" spans="1:6" s="58" customFormat="1" ht="15.95">
      <c r="A18" s="58" t="s">
        <v>9</v>
      </c>
      <c r="B18" s="58" t="s">
        <v>302</v>
      </c>
      <c r="D18" s="59" t="s">
        <v>286</v>
      </c>
      <c r="E18" s="58" t="s">
        <v>10</v>
      </c>
      <c r="F18" s="59" t="s">
        <v>287</v>
      </c>
    </row>
    <row r="19" spans="1:6" ht="48">
      <c r="A19" s="7" t="s">
        <v>9</v>
      </c>
      <c r="B19" s="7" t="s">
        <v>176</v>
      </c>
      <c r="C19" s="7" t="s">
        <v>288</v>
      </c>
      <c r="D19" s="8" t="s">
        <v>289</v>
      </c>
      <c r="E19" s="7" t="s">
        <v>9</v>
      </c>
      <c r="F19" s="9">
        <v>1</v>
      </c>
    </row>
    <row r="20" spans="1:6" s="10" customFormat="1" ht="32.1">
      <c r="A20" s="10" t="s">
        <v>10</v>
      </c>
      <c r="B20" s="10" t="s">
        <v>284</v>
      </c>
      <c r="C20" s="10" t="s">
        <v>290</v>
      </c>
      <c r="D20" s="12" t="s">
        <v>291</v>
      </c>
      <c r="E20" s="10" t="s">
        <v>10</v>
      </c>
      <c r="F20" s="17" t="e">
        <f>'[2]Tool 05 Avg Net Calorific V'!C11</f>
        <v>#REF!</v>
      </c>
    </row>
    <row r="21" spans="1:6" s="10" customFormat="1" ht="32.1">
      <c r="A21" s="10" t="s">
        <v>10</v>
      </c>
      <c r="B21" s="10" t="s">
        <v>284</v>
      </c>
      <c r="C21" s="10" t="s">
        <v>292</v>
      </c>
      <c r="D21" s="12" t="s">
        <v>293</v>
      </c>
      <c r="E21" s="10" t="s">
        <v>10</v>
      </c>
      <c r="F21" s="17" t="e">
        <f>'[2]Tool 05 Fuel Type Emission'!C11*0.001</f>
        <v>#REF!</v>
      </c>
    </row>
    <row r="22" spans="1:6" ht="48">
      <c r="A22" s="7" t="s">
        <v>9</v>
      </c>
      <c r="B22" s="7" t="s">
        <v>176</v>
      </c>
      <c r="C22" s="7" t="s">
        <v>294</v>
      </c>
      <c r="D22" s="8" t="s">
        <v>295</v>
      </c>
      <c r="E22" s="7" t="s">
        <v>9</v>
      </c>
      <c r="F22" s="9">
        <v>10000</v>
      </c>
    </row>
    <row r="23" spans="1:6" ht="93" customHeight="1">
      <c r="A23" s="7" t="s">
        <v>9</v>
      </c>
      <c r="C23" s="7" t="s">
        <v>296</v>
      </c>
      <c r="D23" s="8" t="s">
        <v>297</v>
      </c>
      <c r="E23" s="7" t="s">
        <v>9</v>
      </c>
      <c r="F23" s="9">
        <v>2</v>
      </c>
    </row>
    <row r="24" spans="1:6" s="10" customFormat="1" ht="48">
      <c r="A24" s="10" t="s">
        <v>10</v>
      </c>
      <c r="B24" s="10" t="s">
        <v>284</v>
      </c>
      <c r="C24" s="10" t="s">
        <v>298</v>
      </c>
      <c r="D24" s="12" t="s">
        <v>299</v>
      </c>
      <c r="E24" s="10" t="s">
        <v>10</v>
      </c>
      <c r="F24" s="17">
        <v>1</v>
      </c>
    </row>
    <row r="25" spans="1:6" s="10" customFormat="1" ht="48">
      <c r="A25" s="10" t="s">
        <v>10</v>
      </c>
      <c r="B25" s="10" t="s">
        <v>284</v>
      </c>
      <c r="C25" s="10" t="s">
        <v>298</v>
      </c>
      <c r="D25" s="12" t="s">
        <v>300</v>
      </c>
      <c r="E25" s="10" t="s">
        <v>10</v>
      </c>
      <c r="F25" s="17">
        <v>0.6</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17F4C9-C583-244C-A384-9A1FD4670C23}">
  <dimension ref="B1:C55"/>
  <sheetViews>
    <sheetView workbookViewId="0">
      <selection activeCell="E19" sqref="E19:F19"/>
    </sheetView>
  </sheetViews>
  <sheetFormatPr defaultColWidth="8.875" defaultRowHeight="15"/>
  <cols>
    <col min="1" max="1" width="8.875" style="7"/>
    <col min="2" max="2" width="33" style="7" customWidth="1"/>
    <col min="3" max="3" width="31.625" style="7" customWidth="1"/>
    <col min="4" max="16384" width="8.875" style="7"/>
  </cols>
  <sheetData>
    <row r="1" spans="2:3" ht="15.95" thickBot="1"/>
    <row r="2" spans="2:3" ht="20.100000000000001" thickBot="1">
      <c r="B2" s="236" t="s">
        <v>303</v>
      </c>
      <c r="C2" s="237"/>
    </row>
    <row r="3" spans="2:3" ht="17.100000000000001" thickBot="1">
      <c r="B3" s="44" t="s">
        <v>304</v>
      </c>
      <c r="C3" s="44" t="s">
        <v>305</v>
      </c>
    </row>
    <row r="4" spans="2:3">
      <c r="B4" s="60" t="s">
        <v>306</v>
      </c>
      <c r="C4" s="61">
        <v>40.1</v>
      </c>
    </row>
    <row r="5" spans="2:3">
      <c r="B5" s="48" t="s">
        <v>307</v>
      </c>
      <c r="C5" s="62">
        <v>27.5</v>
      </c>
    </row>
    <row r="6" spans="2:3">
      <c r="B6" s="48" t="s">
        <v>308</v>
      </c>
      <c r="C6" s="62">
        <v>40.9</v>
      </c>
    </row>
    <row r="7" spans="2:3">
      <c r="B7" s="48" t="s">
        <v>309</v>
      </c>
      <c r="C7" s="62">
        <v>42.5</v>
      </c>
    </row>
    <row r="8" spans="2:3">
      <c r="B8" s="48" t="s">
        <v>310</v>
      </c>
      <c r="C8" s="62">
        <v>42.5</v>
      </c>
    </row>
    <row r="9" spans="2:3">
      <c r="B9" s="48" t="s">
        <v>311</v>
      </c>
      <c r="C9" s="62">
        <v>42.5</v>
      </c>
    </row>
    <row r="10" spans="2:3">
      <c r="B10" s="48" t="s">
        <v>312</v>
      </c>
      <c r="C10" s="62">
        <v>42</v>
      </c>
    </row>
    <row r="11" spans="2:3">
      <c r="B11" s="48" t="s">
        <v>313</v>
      </c>
      <c r="C11" s="62">
        <v>42.4</v>
      </c>
    </row>
    <row r="12" spans="2:3">
      <c r="B12" s="48" t="s">
        <v>314</v>
      </c>
      <c r="C12" s="62">
        <v>32.1</v>
      </c>
    </row>
    <row r="13" spans="2:3">
      <c r="B13" s="48" t="s">
        <v>315</v>
      </c>
      <c r="C13" s="62">
        <v>41.4</v>
      </c>
    </row>
    <row r="14" spans="2:3">
      <c r="B14" s="48" t="s">
        <v>316</v>
      </c>
      <c r="C14" s="62">
        <v>39.799999999999997</v>
      </c>
    </row>
    <row r="15" spans="2:3">
      <c r="B15" s="48" t="s">
        <v>317</v>
      </c>
      <c r="C15" s="62">
        <v>44.8</v>
      </c>
    </row>
    <row r="16" spans="2:3">
      <c r="B16" s="48" t="s">
        <v>318</v>
      </c>
      <c r="C16" s="62">
        <v>44.9</v>
      </c>
    </row>
    <row r="17" spans="2:3">
      <c r="B17" s="48" t="s">
        <v>319</v>
      </c>
      <c r="C17" s="62">
        <v>41.8</v>
      </c>
    </row>
    <row r="18" spans="2:3">
      <c r="B18" s="48" t="s">
        <v>320</v>
      </c>
      <c r="C18" s="62">
        <v>33.5</v>
      </c>
    </row>
    <row r="19" spans="2:3">
      <c r="B19" s="48" t="s">
        <v>321</v>
      </c>
      <c r="C19" s="62">
        <v>33.5</v>
      </c>
    </row>
    <row r="20" spans="2:3">
      <c r="B20" s="48" t="s">
        <v>322</v>
      </c>
      <c r="C20" s="62">
        <v>29.7</v>
      </c>
    </row>
    <row r="21" spans="2:3">
      <c r="B21" s="48" t="s">
        <v>323</v>
      </c>
      <c r="C21" s="62">
        <v>36.299999999999997</v>
      </c>
    </row>
    <row r="22" spans="2:3">
      <c r="B22" s="48" t="s">
        <v>324</v>
      </c>
      <c r="C22" s="62">
        <v>47.5</v>
      </c>
    </row>
    <row r="23" spans="2:3">
      <c r="B23" s="48" t="s">
        <v>325</v>
      </c>
      <c r="C23" s="62">
        <v>33.700000000000003</v>
      </c>
    </row>
    <row r="24" spans="2:3">
      <c r="B24" s="48" t="s">
        <v>326</v>
      </c>
      <c r="C24" s="62">
        <v>33.700000000000003</v>
      </c>
    </row>
    <row r="25" spans="2:3">
      <c r="B25" s="48" t="s">
        <v>327</v>
      </c>
      <c r="C25" s="62">
        <v>33.700000000000003</v>
      </c>
    </row>
    <row r="26" spans="2:3">
      <c r="B26" s="48" t="s">
        <v>328</v>
      </c>
      <c r="C26" s="62">
        <v>21.6</v>
      </c>
    </row>
    <row r="27" spans="2:3">
      <c r="B27" s="48" t="s">
        <v>329</v>
      </c>
      <c r="C27" s="62">
        <v>24</v>
      </c>
    </row>
    <row r="28" spans="2:3">
      <c r="B28" s="48" t="s">
        <v>330</v>
      </c>
      <c r="C28" s="62">
        <v>19.899999999999999</v>
      </c>
    </row>
    <row r="29" spans="2:3">
      <c r="B29" s="48" t="s">
        <v>331</v>
      </c>
      <c r="C29" s="62">
        <v>11.5</v>
      </c>
    </row>
    <row r="30" spans="2:3">
      <c r="B30" s="48" t="s">
        <v>332</v>
      </c>
      <c r="C30" s="62">
        <v>5.5</v>
      </c>
    </row>
    <row r="31" spans="2:3">
      <c r="B31" s="48" t="s">
        <v>333</v>
      </c>
      <c r="C31" s="62">
        <v>7.1</v>
      </c>
    </row>
    <row r="32" spans="2:3">
      <c r="B32" s="48" t="s">
        <v>334</v>
      </c>
      <c r="C32" s="62">
        <v>15.1</v>
      </c>
    </row>
    <row r="33" spans="2:3">
      <c r="B33" s="48" t="s">
        <v>335</v>
      </c>
      <c r="C33" s="62">
        <v>15.1</v>
      </c>
    </row>
    <row r="34" spans="2:3">
      <c r="B34" s="48" t="s">
        <v>336</v>
      </c>
      <c r="C34" s="62">
        <v>25.1</v>
      </c>
    </row>
    <row r="35" spans="2:3">
      <c r="B35" s="48" t="s">
        <v>337</v>
      </c>
      <c r="C35" s="62">
        <v>25.1</v>
      </c>
    </row>
    <row r="36" spans="2:3">
      <c r="B36" s="48" t="s">
        <v>338</v>
      </c>
      <c r="C36" s="62">
        <v>14.1</v>
      </c>
    </row>
    <row r="37" spans="2:3">
      <c r="B37" s="48" t="s">
        <v>339</v>
      </c>
      <c r="C37" s="62">
        <v>19.600000000000001</v>
      </c>
    </row>
    <row r="38" spans="2:3">
      <c r="B38" s="48" t="s">
        <v>340</v>
      </c>
      <c r="C38" s="62">
        <v>19.600000000000001</v>
      </c>
    </row>
    <row r="39" spans="2:3">
      <c r="B39" s="48" t="s">
        <v>341</v>
      </c>
      <c r="C39" s="62">
        <v>1.2</v>
      </c>
    </row>
    <row r="40" spans="2:3">
      <c r="B40" s="48" t="s">
        <v>342</v>
      </c>
      <c r="C40" s="62">
        <v>3.8</v>
      </c>
    </row>
    <row r="41" spans="2:3">
      <c r="B41" s="48" t="s">
        <v>343</v>
      </c>
      <c r="C41" s="62">
        <v>46.5</v>
      </c>
    </row>
    <row r="42" spans="2:3" ht="15.95">
      <c r="B42" s="63" t="s">
        <v>344</v>
      </c>
      <c r="C42" s="62">
        <v>7</v>
      </c>
    </row>
    <row r="43" spans="2:3">
      <c r="B43" s="48" t="s">
        <v>345</v>
      </c>
      <c r="C43" s="62">
        <v>20.3</v>
      </c>
    </row>
    <row r="44" spans="2:3">
      <c r="B44" s="48" t="s">
        <v>346</v>
      </c>
      <c r="C44" s="62">
        <v>7.8</v>
      </c>
    </row>
    <row r="45" spans="2:3">
      <c r="B45" s="48" t="s">
        <v>347</v>
      </c>
      <c r="C45" s="62">
        <v>7.9</v>
      </c>
    </row>
    <row r="46" spans="2:3">
      <c r="B46" s="48" t="s">
        <v>348</v>
      </c>
      <c r="C46" s="62">
        <v>5.9</v>
      </c>
    </row>
    <row r="47" spans="2:3">
      <c r="B47" s="48" t="s">
        <v>349</v>
      </c>
      <c r="C47" s="62">
        <v>5.9</v>
      </c>
    </row>
    <row r="48" spans="2:3">
      <c r="B48" s="48" t="s">
        <v>350</v>
      </c>
      <c r="C48" s="62">
        <v>14.9</v>
      </c>
    </row>
    <row r="49" spans="2:3">
      <c r="B49" s="48" t="s">
        <v>351</v>
      </c>
      <c r="C49" s="62">
        <v>13.6</v>
      </c>
    </row>
    <row r="50" spans="2:3">
      <c r="B50" s="48" t="s">
        <v>352</v>
      </c>
      <c r="C50" s="62">
        <v>13.6</v>
      </c>
    </row>
    <row r="51" spans="2:3">
      <c r="B51" s="48" t="s">
        <v>353</v>
      </c>
      <c r="C51" s="62">
        <v>13.8</v>
      </c>
    </row>
    <row r="52" spans="2:3">
      <c r="B52" s="48" t="s">
        <v>354</v>
      </c>
      <c r="C52" s="62">
        <v>25.4</v>
      </c>
    </row>
    <row r="53" spans="2:3">
      <c r="B53" s="48" t="s">
        <v>355</v>
      </c>
      <c r="C53" s="62">
        <v>25.4</v>
      </c>
    </row>
    <row r="54" spans="2:3">
      <c r="B54" s="48" t="s">
        <v>356</v>
      </c>
      <c r="C54" s="62">
        <v>25.4</v>
      </c>
    </row>
    <row r="55" spans="2:3" ht="15.95" thickBot="1">
      <c r="B55" s="51" t="s">
        <v>357</v>
      </c>
      <c r="C55" s="64">
        <v>6.8</v>
      </c>
    </row>
  </sheetData>
  <mergeCells count="1">
    <mergeCell ref="B2:C2"/>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5F8D49-39D5-CB49-93F9-D49DD94EAEBC}">
  <dimension ref="A1:C56"/>
  <sheetViews>
    <sheetView workbookViewId="0">
      <selection activeCell="I14" sqref="I14"/>
    </sheetView>
  </sheetViews>
  <sheetFormatPr defaultColWidth="8.875" defaultRowHeight="15"/>
  <cols>
    <col min="1" max="1" width="8.875" style="7"/>
    <col min="2" max="2" width="32.875" style="7" customWidth="1"/>
    <col min="3" max="3" width="39.625" style="7" customWidth="1"/>
    <col min="4" max="16384" width="8.875" style="7"/>
  </cols>
  <sheetData>
    <row r="1" spans="1:3" ht="15.95" thickBot="1"/>
    <row r="2" spans="1:3" ht="20.100000000000001" thickBot="1">
      <c r="B2" s="238" t="s">
        <v>358</v>
      </c>
      <c r="C2" s="239"/>
    </row>
    <row r="3" spans="1:3" ht="17.100000000000001" thickBot="1">
      <c r="B3" s="43" t="s">
        <v>304</v>
      </c>
      <c r="C3" s="44" t="s">
        <v>359</v>
      </c>
    </row>
    <row r="4" spans="1:3">
      <c r="B4" s="45" t="s">
        <v>306</v>
      </c>
      <c r="C4" s="46">
        <v>75500</v>
      </c>
    </row>
    <row r="5" spans="1:3">
      <c r="B5" s="47" t="s">
        <v>307</v>
      </c>
      <c r="C5" s="48">
        <v>85400</v>
      </c>
    </row>
    <row r="6" spans="1:3">
      <c r="B6" s="47" t="s">
        <v>308</v>
      </c>
      <c r="C6" s="48">
        <v>70400</v>
      </c>
    </row>
    <row r="7" spans="1:3">
      <c r="B7" s="47" t="s">
        <v>309</v>
      </c>
      <c r="C7" s="48">
        <v>73000</v>
      </c>
    </row>
    <row r="8" spans="1:3">
      <c r="B8" s="47" t="s">
        <v>310</v>
      </c>
      <c r="C8" s="48">
        <v>73000</v>
      </c>
    </row>
    <row r="9" spans="1:3">
      <c r="B9" s="47" t="s">
        <v>311</v>
      </c>
      <c r="C9" s="48">
        <v>73000</v>
      </c>
    </row>
    <row r="10" spans="1:3">
      <c r="B10" s="47" t="s">
        <v>312</v>
      </c>
      <c r="C10" s="48">
        <v>74400</v>
      </c>
    </row>
    <row r="11" spans="1:3">
      <c r="B11" s="47" t="s">
        <v>313</v>
      </c>
      <c r="C11" s="48">
        <v>73700</v>
      </c>
    </row>
    <row r="12" spans="1:3">
      <c r="B12" s="47" t="s">
        <v>314</v>
      </c>
      <c r="C12" s="48">
        <v>79200</v>
      </c>
    </row>
    <row r="13" spans="1:3">
      <c r="B13" s="47" t="s">
        <v>315</v>
      </c>
      <c r="C13" s="48">
        <v>74800</v>
      </c>
    </row>
    <row r="14" spans="1:3">
      <c r="B14" s="47" t="s">
        <v>316</v>
      </c>
      <c r="C14" s="48">
        <v>78800</v>
      </c>
    </row>
    <row r="15" spans="1:3">
      <c r="B15" s="47" t="s">
        <v>317</v>
      </c>
      <c r="C15" s="48">
        <v>65600</v>
      </c>
    </row>
    <row r="16" spans="1:3">
      <c r="B16" s="47" t="s">
        <v>318</v>
      </c>
      <c r="C16" s="48">
        <v>68600</v>
      </c>
    </row>
    <row r="17" spans="2:3">
      <c r="B17" s="47" t="s">
        <v>319</v>
      </c>
      <c r="C17" s="48">
        <v>76300</v>
      </c>
    </row>
    <row r="18" spans="2:3">
      <c r="B18" s="47" t="s">
        <v>320</v>
      </c>
      <c r="C18" s="48">
        <v>89900</v>
      </c>
    </row>
    <row r="19" spans="2:3">
      <c r="B19" s="47" t="s">
        <v>321</v>
      </c>
      <c r="C19" s="48">
        <v>75200</v>
      </c>
    </row>
    <row r="20" spans="2:3">
      <c r="B20" s="47" t="s">
        <v>322</v>
      </c>
      <c r="C20" s="48">
        <v>115000</v>
      </c>
    </row>
    <row r="21" spans="2:3">
      <c r="B21" s="47" t="s">
        <v>323</v>
      </c>
      <c r="C21" s="48">
        <v>76600</v>
      </c>
    </row>
    <row r="22" spans="2:3">
      <c r="B22" s="47" t="s">
        <v>324</v>
      </c>
      <c r="C22" s="48">
        <v>69000</v>
      </c>
    </row>
    <row r="23" spans="2:3">
      <c r="B23" s="47" t="s">
        <v>325</v>
      </c>
      <c r="C23" s="48">
        <v>74400</v>
      </c>
    </row>
    <row r="24" spans="2:3">
      <c r="B24" s="47" t="s">
        <v>326</v>
      </c>
      <c r="C24" s="48">
        <v>74400</v>
      </c>
    </row>
    <row r="25" spans="2:3">
      <c r="B25" s="47" t="s">
        <v>327</v>
      </c>
      <c r="C25" s="48">
        <v>74400</v>
      </c>
    </row>
    <row r="26" spans="2:3">
      <c r="B26" s="47" t="s">
        <v>328</v>
      </c>
      <c r="C26" s="48">
        <v>101000</v>
      </c>
    </row>
    <row r="27" spans="2:3">
      <c r="B27" s="47" t="s">
        <v>329</v>
      </c>
      <c r="C27" s="48">
        <v>101000</v>
      </c>
    </row>
    <row r="28" spans="2:3">
      <c r="B28" s="47" t="s">
        <v>330</v>
      </c>
      <c r="C28" s="48">
        <v>99700</v>
      </c>
    </row>
    <row r="29" spans="2:3">
      <c r="B29" s="47" t="s">
        <v>331</v>
      </c>
      <c r="C29" s="48">
        <v>100000</v>
      </c>
    </row>
    <row r="30" spans="2:3">
      <c r="B30" s="47" t="s">
        <v>332</v>
      </c>
      <c r="C30" s="48">
        <v>115000</v>
      </c>
    </row>
    <row r="31" spans="2:3">
      <c r="B31" s="47" t="s">
        <v>333</v>
      </c>
      <c r="C31" s="48">
        <v>125000</v>
      </c>
    </row>
    <row r="32" spans="2:3">
      <c r="B32" s="47" t="s">
        <v>334</v>
      </c>
      <c r="C32" s="48">
        <v>109000</v>
      </c>
    </row>
    <row r="33" spans="2:3">
      <c r="B33" s="47" t="s">
        <v>335</v>
      </c>
      <c r="C33" s="48">
        <v>109000</v>
      </c>
    </row>
    <row r="34" spans="2:3">
      <c r="B34" s="47" t="s">
        <v>336</v>
      </c>
      <c r="C34" s="48">
        <v>119000</v>
      </c>
    </row>
    <row r="35" spans="2:3">
      <c r="B35" s="47" t="s">
        <v>337</v>
      </c>
      <c r="C35" s="48">
        <v>119000</v>
      </c>
    </row>
    <row r="36" spans="2:3">
      <c r="B36" s="47" t="s">
        <v>338</v>
      </c>
      <c r="C36" s="48">
        <v>95300</v>
      </c>
    </row>
    <row r="37" spans="2:3">
      <c r="B37" s="47" t="s">
        <v>339</v>
      </c>
      <c r="C37" s="48">
        <v>54100</v>
      </c>
    </row>
    <row r="38" spans="2:3">
      <c r="B38" s="47" t="s">
        <v>340</v>
      </c>
      <c r="C38" s="48">
        <v>54100</v>
      </c>
    </row>
    <row r="39" spans="2:3">
      <c r="B39" s="47" t="s">
        <v>341</v>
      </c>
      <c r="C39" s="48">
        <v>308000</v>
      </c>
    </row>
    <row r="40" spans="2:3">
      <c r="B40" s="47" t="s">
        <v>342</v>
      </c>
      <c r="C40" s="48">
        <v>202000</v>
      </c>
    </row>
    <row r="41" spans="2:3">
      <c r="B41" s="47" t="s">
        <v>343</v>
      </c>
      <c r="C41" s="48">
        <v>58300</v>
      </c>
    </row>
    <row r="42" spans="2:3" ht="15.95">
      <c r="B42" s="49" t="s">
        <v>344</v>
      </c>
      <c r="C42" s="48">
        <v>121000</v>
      </c>
    </row>
    <row r="43" spans="2:3">
      <c r="B43" s="47" t="s">
        <v>360</v>
      </c>
      <c r="C43" s="48">
        <v>183000</v>
      </c>
    </row>
    <row r="44" spans="2:3">
      <c r="B44" s="47" t="s">
        <v>345</v>
      </c>
      <c r="C44" s="48">
        <v>74400</v>
      </c>
    </row>
    <row r="45" spans="2:3">
      <c r="B45" s="47" t="s">
        <v>346</v>
      </c>
      <c r="C45" s="48">
        <v>108000</v>
      </c>
    </row>
    <row r="46" spans="2:3">
      <c r="B46" s="47" t="s">
        <v>347</v>
      </c>
      <c r="C46" s="48">
        <v>132000</v>
      </c>
    </row>
    <row r="47" spans="2:3">
      <c r="B47" s="47" t="s">
        <v>348</v>
      </c>
      <c r="C47" s="48">
        <v>110000</v>
      </c>
    </row>
    <row r="48" spans="2:3">
      <c r="B48" s="47" t="s">
        <v>349</v>
      </c>
      <c r="C48" s="48">
        <v>117000</v>
      </c>
    </row>
    <row r="49" spans="2:3">
      <c r="B49" s="47" t="s">
        <v>350</v>
      </c>
      <c r="C49" s="48">
        <v>132000</v>
      </c>
    </row>
    <row r="50" spans="2:3">
      <c r="B50" s="47" t="s">
        <v>351</v>
      </c>
      <c r="C50" s="48">
        <v>84300</v>
      </c>
    </row>
    <row r="51" spans="2:3">
      <c r="B51" s="47" t="s">
        <v>352</v>
      </c>
      <c r="C51" s="48">
        <v>84300</v>
      </c>
    </row>
    <row r="52" spans="2:3">
      <c r="B52" s="47" t="s">
        <v>353</v>
      </c>
      <c r="C52" s="48">
        <v>95300</v>
      </c>
    </row>
    <row r="53" spans="2:3">
      <c r="B53" s="47" t="s">
        <v>354</v>
      </c>
      <c r="C53" s="48">
        <v>66000</v>
      </c>
    </row>
    <row r="54" spans="2:3">
      <c r="B54" s="47" t="s">
        <v>355</v>
      </c>
      <c r="C54" s="48">
        <v>66000</v>
      </c>
    </row>
    <row r="55" spans="2:3">
      <c r="B55" s="47" t="s">
        <v>356</v>
      </c>
      <c r="C55" s="48">
        <v>66000</v>
      </c>
    </row>
    <row r="56" spans="2:3" ht="15.95" thickBot="1">
      <c r="B56" s="50" t="s">
        <v>357</v>
      </c>
      <c r="C56" s="51">
        <v>117000</v>
      </c>
    </row>
  </sheetData>
  <mergeCells count="1">
    <mergeCell ref="B2:C2"/>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334C0-6385-194D-8511-AA4811FADFBB}">
  <dimension ref="A1:Q26"/>
  <sheetViews>
    <sheetView workbookViewId="0">
      <selection activeCell="K30" sqref="K30"/>
    </sheetView>
  </sheetViews>
  <sheetFormatPr defaultColWidth="8.875" defaultRowHeight="15"/>
  <cols>
    <col min="1" max="1" width="17.625" style="7" bestFit="1" customWidth="1"/>
    <col min="2" max="2" width="22.875" style="7" customWidth="1"/>
    <col min="3" max="3" width="21.375" style="7" customWidth="1"/>
    <col min="4" max="4" width="22.5" style="7" customWidth="1"/>
    <col min="5" max="16384" width="8.875" style="7"/>
  </cols>
  <sheetData>
    <row r="1" spans="1:17" s="6" customFormat="1" ht="18.95">
      <c r="A1" s="240" t="s">
        <v>361</v>
      </c>
      <c r="B1" s="240"/>
      <c r="C1" s="240"/>
      <c r="D1" s="240"/>
      <c r="E1" s="240"/>
      <c r="F1" s="240"/>
      <c r="G1" s="240"/>
      <c r="H1" s="240"/>
      <c r="I1" s="240"/>
      <c r="J1" s="240"/>
      <c r="K1" s="240"/>
      <c r="L1" s="240"/>
      <c r="M1" s="240"/>
      <c r="N1" s="240"/>
      <c r="O1" s="240"/>
      <c r="P1" s="240"/>
      <c r="Q1" s="240"/>
    </row>
    <row r="2" spans="1:17" ht="20.100000000000001" thickBot="1">
      <c r="A2" s="20" t="s">
        <v>362</v>
      </c>
      <c r="B2" s="20"/>
      <c r="C2" s="20"/>
      <c r="D2" s="20"/>
      <c r="E2" s="20"/>
      <c r="F2" s="20"/>
      <c r="G2" s="20"/>
      <c r="H2" s="20"/>
      <c r="I2" s="20"/>
      <c r="J2" s="20"/>
      <c r="K2" s="20"/>
      <c r="L2" s="20"/>
      <c r="M2" s="20"/>
      <c r="N2" s="20"/>
      <c r="O2" s="20"/>
      <c r="P2" s="20"/>
      <c r="Q2" s="20"/>
    </row>
    <row r="3" spans="1:17" ht="93" customHeight="1" thickBot="1">
      <c r="A3" s="21" t="s">
        <v>363</v>
      </c>
      <c r="B3" s="22" t="s">
        <v>364</v>
      </c>
      <c r="C3" s="22" t="s">
        <v>365</v>
      </c>
      <c r="D3" s="23" t="s">
        <v>366</v>
      </c>
    </row>
    <row r="4" spans="1:17" ht="15.95" thickBot="1">
      <c r="A4" s="24"/>
      <c r="B4" s="241" t="s">
        <v>367</v>
      </c>
      <c r="C4" s="242"/>
      <c r="D4" s="243"/>
    </row>
    <row r="5" spans="1:17" ht="15.95" thickBot="1">
      <c r="A5" s="25" t="s">
        <v>368</v>
      </c>
      <c r="B5" s="26">
        <v>0.25</v>
      </c>
      <c r="C5" s="27">
        <v>0.5</v>
      </c>
      <c r="D5" s="28">
        <v>1</v>
      </c>
    </row>
    <row r="6" spans="1:17">
      <c r="A6" s="29" t="s">
        <v>369</v>
      </c>
      <c r="B6" s="30">
        <v>1</v>
      </c>
      <c r="C6" s="31">
        <v>0.9</v>
      </c>
      <c r="D6" s="32">
        <v>0.8</v>
      </c>
    </row>
    <row r="7" spans="1:17">
      <c r="A7" s="33" t="s">
        <v>370</v>
      </c>
      <c r="B7" s="34">
        <v>1</v>
      </c>
      <c r="C7" s="35">
        <v>0.8</v>
      </c>
      <c r="D7" s="36">
        <v>0.8</v>
      </c>
    </row>
    <row r="8" spans="1:17">
      <c r="A8" s="33" t="s">
        <v>371</v>
      </c>
      <c r="B8" s="34">
        <v>1</v>
      </c>
      <c r="C8" s="35">
        <v>0.8</v>
      </c>
      <c r="D8" s="36">
        <v>0.8</v>
      </c>
    </row>
    <row r="9" spans="1:17">
      <c r="A9" s="33" t="s">
        <v>372</v>
      </c>
      <c r="B9" s="34">
        <v>0.9</v>
      </c>
      <c r="C9" s="35">
        <v>0.8</v>
      </c>
      <c r="D9" s="36">
        <v>0.8</v>
      </c>
    </row>
    <row r="10" spans="1:17" ht="15.95" thickBot="1">
      <c r="A10" s="37" t="s">
        <v>373</v>
      </c>
      <c r="B10" s="38">
        <v>0.8</v>
      </c>
      <c r="C10" s="39">
        <v>0.8</v>
      </c>
      <c r="D10" s="40">
        <v>0.8</v>
      </c>
    </row>
    <row r="13" spans="1:17" s="6" customFormat="1" ht="18.95">
      <c r="A13" s="240" t="s">
        <v>374</v>
      </c>
      <c r="B13" s="240"/>
      <c r="C13" s="240"/>
      <c r="D13" s="240"/>
      <c r="E13" s="240"/>
      <c r="F13" s="240"/>
      <c r="G13" s="240"/>
      <c r="H13" s="240"/>
      <c r="I13" s="240"/>
      <c r="J13" s="240"/>
      <c r="K13" s="240"/>
      <c r="L13" s="240"/>
      <c r="M13" s="240"/>
      <c r="N13" s="240"/>
      <c r="O13" s="240"/>
      <c r="P13" s="240"/>
      <c r="Q13" s="240"/>
    </row>
    <row r="14" spans="1:17" ht="76.5" customHeight="1">
      <c r="A14" s="8" t="s">
        <v>88</v>
      </c>
      <c r="B14" s="41" t="s">
        <v>375</v>
      </c>
      <c r="C14" s="42" t="s">
        <v>376</v>
      </c>
    </row>
    <row r="15" spans="1:17" ht="32.1">
      <c r="A15" s="7" t="s">
        <v>88</v>
      </c>
      <c r="B15" s="8" t="s">
        <v>377</v>
      </c>
      <c r="C15" s="42" t="s">
        <v>378</v>
      </c>
    </row>
    <row r="17" spans="1:17" s="6" customFormat="1" ht="18.95">
      <c r="A17" s="240" t="s">
        <v>379</v>
      </c>
      <c r="B17" s="240"/>
      <c r="C17" s="240"/>
      <c r="D17" s="240"/>
      <c r="E17" s="240"/>
      <c r="F17" s="240"/>
      <c r="G17" s="240"/>
      <c r="H17" s="240"/>
      <c r="I17" s="240"/>
      <c r="J17" s="240"/>
      <c r="K17" s="240"/>
      <c r="L17" s="240"/>
      <c r="M17" s="240"/>
      <c r="N17" s="240"/>
      <c r="O17" s="240"/>
      <c r="P17" s="240"/>
      <c r="Q17" s="240"/>
    </row>
    <row r="18" spans="1:17" ht="63.95">
      <c r="A18" s="7" t="s">
        <v>88</v>
      </c>
      <c r="B18" s="8" t="s">
        <v>380</v>
      </c>
      <c r="C18" s="42">
        <v>4</v>
      </c>
    </row>
    <row r="20" spans="1:17" s="6" customFormat="1" ht="18.95">
      <c r="A20" s="240" t="s">
        <v>381</v>
      </c>
      <c r="B20" s="240"/>
      <c r="C20" s="240"/>
      <c r="D20" s="240"/>
      <c r="E20" s="240"/>
      <c r="F20" s="240"/>
      <c r="G20" s="240"/>
      <c r="H20" s="240"/>
      <c r="I20" s="240"/>
      <c r="J20" s="240"/>
      <c r="K20" s="240"/>
      <c r="L20" s="240"/>
      <c r="M20" s="240"/>
      <c r="N20" s="240"/>
      <c r="O20" s="240"/>
      <c r="P20" s="240"/>
      <c r="Q20" s="240"/>
    </row>
    <row r="21" spans="1:17" ht="32.1">
      <c r="A21" s="7" t="s">
        <v>88</v>
      </c>
      <c r="B21" s="8" t="s">
        <v>382</v>
      </c>
      <c r="C21" s="42">
        <v>0.3</v>
      </c>
    </row>
    <row r="23" spans="1:17" s="6" customFormat="1" ht="18.95">
      <c r="A23" s="240" t="s">
        <v>383</v>
      </c>
      <c r="B23" s="240"/>
      <c r="C23" s="240"/>
      <c r="D23" s="240"/>
      <c r="E23" s="240"/>
      <c r="F23" s="240"/>
      <c r="G23" s="240"/>
      <c r="H23" s="240"/>
      <c r="I23" s="240"/>
      <c r="J23" s="240"/>
      <c r="K23" s="240"/>
      <c r="L23" s="240"/>
      <c r="M23" s="240"/>
      <c r="N23" s="240"/>
      <c r="O23" s="240"/>
      <c r="P23" s="240"/>
      <c r="Q23" s="240"/>
    </row>
    <row r="24" spans="1:17" ht="32.1">
      <c r="A24" s="7" t="s">
        <v>88</v>
      </c>
      <c r="B24" s="8" t="s">
        <v>384</v>
      </c>
      <c r="C24" s="42">
        <v>0.15</v>
      </c>
    </row>
    <row r="25" spans="1:17" ht="63.95">
      <c r="A25" s="7" t="s">
        <v>88</v>
      </c>
      <c r="B25" s="41" t="s">
        <v>385</v>
      </c>
      <c r="C25" s="42">
        <v>0.15</v>
      </c>
    </row>
    <row r="26" spans="1:17">
      <c r="A26" s="7" t="s">
        <v>88</v>
      </c>
      <c r="B26" s="7" t="s">
        <v>386</v>
      </c>
      <c r="C26" s="42">
        <v>0.25</v>
      </c>
    </row>
  </sheetData>
  <mergeCells count="6">
    <mergeCell ref="A23:Q23"/>
    <mergeCell ref="A1:Q1"/>
    <mergeCell ref="B4:D4"/>
    <mergeCell ref="A13:Q13"/>
    <mergeCell ref="A17:Q17"/>
    <mergeCell ref="A20:Q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5E76-351D-1B44-A3C8-DDEF8A9DF0C9}">
  <dimension ref="A1:H137"/>
  <sheetViews>
    <sheetView tabSelected="1" workbookViewId="0">
      <selection activeCell="C9" sqref="C9"/>
    </sheetView>
  </sheetViews>
  <sheetFormatPr defaultColWidth="8.875" defaultRowHeight="15"/>
  <cols>
    <col min="1" max="1" width="28.125" style="7" customWidth="1"/>
    <col min="2" max="2" width="91.5" style="8" customWidth="1"/>
    <col min="3" max="3" width="38.375" style="7" customWidth="1"/>
    <col min="4" max="4" width="8.875" style="7"/>
    <col min="5" max="5" width="11.625" style="7" customWidth="1"/>
    <col min="6" max="6" width="8.875" style="7" customWidth="1"/>
    <col min="7" max="7" width="14.625" style="7" customWidth="1"/>
    <col min="8" max="16384" width="8.875" style="7"/>
  </cols>
  <sheetData>
    <row r="1" spans="2:8">
      <c r="C1" s="7" t="s">
        <v>7</v>
      </c>
      <c r="D1" s="7" t="s">
        <v>387</v>
      </c>
      <c r="E1" s="7" t="s">
        <v>3</v>
      </c>
      <c r="F1" s="7" t="s">
        <v>165</v>
      </c>
      <c r="G1" s="7" t="s">
        <v>164</v>
      </c>
      <c r="H1" s="7" t="s">
        <v>163</v>
      </c>
    </row>
    <row r="2" spans="2:8" s="6" customFormat="1" ht="20.100000000000001">
      <c r="B2" s="116" t="s">
        <v>388</v>
      </c>
    </row>
    <row r="3" spans="2:8" ht="15.95">
      <c r="B3" s="8" t="s">
        <v>389</v>
      </c>
      <c r="C3" s="7" t="s">
        <v>390</v>
      </c>
      <c r="D3" s="7" t="s">
        <v>9</v>
      </c>
      <c r="E3" s="7" t="s">
        <v>80</v>
      </c>
      <c r="G3" s="7" t="s">
        <v>391</v>
      </c>
    </row>
    <row r="4" spans="2:8" ht="32.1">
      <c r="B4" s="8" t="s">
        <v>392</v>
      </c>
      <c r="C4" s="7" t="s">
        <v>9</v>
      </c>
      <c r="D4" s="7" t="s">
        <v>9</v>
      </c>
      <c r="E4" s="7" t="s">
        <v>80</v>
      </c>
      <c r="G4" s="7" t="s">
        <v>391</v>
      </c>
    </row>
    <row r="5" spans="2:8" ht="15.95">
      <c r="B5" s="8" t="s">
        <v>393</v>
      </c>
      <c r="C5" s="7" t="s">
        <v>9</v>
      </c>
      <c r="D5" s="7" t="s">
        <v>9</v>
      </c>
      <c r="E5" s="7" t="s">
        <v>80</v>
      </c>
      <c r="G5" s="7" t="s">
        <v>391</v>
      </c>
    </row>
    <row r="6" spans="2:8" ht="15.95">
      <c r="B6" s="8" t="s">
        <v>394</v>
      </c>
      <c r="C6" s="7" t="s">
        <v>395</v>
      </c>
      <c r="D6" s="7" t="str">
        <f>IF(C5="Yes","Yes","NA")</f>
        <v>Yes</v>
      </c>
      <c r="E6" s="7" t="s">
        <v>80</v>
      </c>
      <c r="G6" s="7" t="s">
        <v>391</v>
      </c>
    </row>
    <row r="7" spans="2:8" ht="15.95">
      <c r="B7" s="8" t="s">
        <v>396</v>
      </c>
      <c r="C7" s="7" t="s">
        <v>10</v>
      </c>
      <c r="D7" s="7" t="str">
        <f>IF(C5="Yes","Yes","NA")</f>
        <v>Yes</v>
      </c>
      <c r="E7" s="7" t="s">
        <v>80</v>
      </c>
      <c r="G7" s="7" t="s">
        <v>391</v>
      </c>
    </row>
    <row r="8" spans="2:8" ht="15.95">
      <c r="B8" s="8" t="s">
        <v>397</v>
      </c>
      <c r="C8" s="7" t="s">
        <v>10</v>
      </c>
      <c r="D8" s="7" t="str">
        <f>IF(C5="Yes","Yes","NA")</f>
        <v>Yes</v>
      </c>
      <c r="E8" s="7" t="s">
        <v>80</v>
      </c>
      <c r="G8" s="7" t="s">
        <v>391</v>
      </c>
    </row>
    <row r="9" spans="2:8" ht="15.95">
      <c r="B9" s="8" t="s">
        <v>398</v>
      </c>
      <c r="C9" s="7" t="s">
        <v>10</v>
      </c>
      <c r="D9" s="7" t="str">
        <f>IF(C5="Yes","Yes","NA")</f>
        <v>Yes</v>
      </c>
      <c r="E9" s="7" t="s">
        <v>80</v>
      </c>
      <c r="G9" s="7" t="s">
        <v>391</v>
      </c>
    </row>
    <row r="10" spans="2:8" ht="15.95">
      <c r="B10" s="8" t="s">
        <v>399</v>
      </c>
      <c r="C10" s="7" t="s">
        <v>10</v>
      </c>
      <c r="D10" s="7" t="str">
        <f>IF(C5="Yes","Yes","NA")</f>
        <v>Yes</v>
      </c>
      <c r="E10" s="7" t="s">
        <v>80</v>
      </c>
      <c r="G10" s="7" t="s">
        <v>391</v>
      </c>
    </row>
    <row r="11" spans="2:8" ht="15.95">
      <c r="B11" s="8" t="s">
        <v>400</v>
      </c>
      <c r="C11" s="7" t="s">
        <v>9</v>
      </c>
      <c r="D11" s="7" t="str">
        <f>IF(C5="Yes","Yes","NA")</f>
        <v>Yes</v>
      </c>
      <c r="E11" s="7" t="s">
        <v>80</v>
      </c>
      <c r="G11" s="7" t="s">
        <v>391</v>
      </c>
    </row>
    <row r="12" spans="2:8" ht="32.1">
      <c r="B12" s="8" t="s">
        <v>401</v>
      </c>
      <c r="C12" s="7" t="s">
        <v>9</v>
      </c>
      <c r="D12" s="7" t="str">
        <f>IF(AND(C5="Yes",C11="Yes"),"Yes","NA")</f>
        <v>Yes</v>
      </c>
      <c r="E12" s="7" t="s">
        <v>80</v>
      </c>
      <c r="G12" s="7" t="s">
        <v>391</v>
      </c>
    </row>
    <row r="13" spans="2:8" ht="32.1">
      <c r="B13" s="8" t="s">
        <v>402</v>
      </c>
      <c r="D13" s="7" t="str">
        <f>IF(AND(C5="Yes",C11="Yes"),"Yes","NA")</f>
        <v>Yes</v>
      </c>
      <c r="E13" s="7" t="s">
        <v>403</v>
      </c>
      <c r="G13" s="7" t="s">
        <v>391</v>
      </c>
    </row>
    <row r="14" spans="2:8" ht="48">
      <c r="B14" s="8" t="s">
        <v>404</v>
      </c>
      <c r="C14" s="10" t="s">
        <v>405</v>
      </c>
      <c r="D14" s="7" t="str">
        <f>IF(AND(C5="Yes",C11="Yes"),"Yes","NA")</f>
        <v>Yes</v>
      </c>
      <c r="E14" s="7" t="s">
        <v>406</v>
      </c>
      <c r="G14" s="7" t="s">
        <v>391</v>
      </c>
    </row>
    <row r="15" spans="2:8" ht="48">
      <c r="B15" s="8" t="s">
        <v>407</v>
      </c>
      <c r="C15" s="7" t="s">
        <v>9</v>
      </c>
      <c r="D15" s="7" t="str">
        <f>IF(AND(C5="Yes",C11="Yes"),"Yes","NA")</f>
        <v>Yes</v>
      </c>
      <c r="E15" s="7" t="s">
        <v>80</v>
      </c>
      <c r="G15" s="7" t="s">
        <v>391</v>
      </c>
    </row>
    <row r="16" spans="2:8" ht="33" thickBot="1">
      <c r="B16" s="8" t="s">
        <v>408</v>
      </c>
      <c r="D16" s="7" t="str">
        <f>IF(AND(C5="Yes",C11="Yes"),"Yes","NA")</f>
        <v>Yes</v>
      </c>
      <c r="E16" s="7" t="s">
        <v>409</v>
      </c>
      <c r="G16" s="7" t="s">
        <v>9</v>
      </c>
    </row>
    <row r="17" spans="2:7" s="119" customFormat="1" ht="18" thickTop="1" thickBot="1">
      <c r="B17" s="117" t="s">
        <v>410</v>
      </c>
      <c r="C17" s="118" t="str">
        <f>IF(AND(C4="No",C5="No"),"NA",IF(OR(C6="Yes",C7="Yes",C8="Yes",C9="Yes",C10="Yes",C12="No",C15="No"),"NA","Applicable"))</f>
        <v>Applicable</v>
      </c>
      <c r="E17" s="119" t="s">
        <v>411</v>
      </c>
    </row>
    <row r="18" spans="2:7" s="121" customFormat="1" ht="17.100000000000001" thickTop="1">
      <c r="B18" s="120" t="s">
        <v>412</v>
      </c>
      <c r="C18" s="121" t="s">
        <v>413</v>
      </c>
      <c r="D18" s="121" t="s">
        <v>9</v>
      </c>
      <c r="E18" s="121" t="s">
        <v>80</v>
      </c>
      <c r="G18" s="121" t="s">
        <v>10</v>
      </c>
    </row>
    <row r="19" spans="2:7" ht="15.95">
      <c r="B19" s="8" t="s">
        <v>414</v>
      </c>
      <c r="C19" s="7" t="s">
        <v>415</v>
      </c>
      <c r="D19" s="7" t="str">
        <f>IF(C18="Project Emissions (PE)","Yes","NA")</f>
        <v>Yes</v>
      </c>
      <c r="E19" s="7" t="s">
        <v>80</v>
      </c>
      <c r="G19" s="7" t="s">
        <v>10</v>
      </c>
    </row>
    <row r="20" spans="2:7" ht="15" customHeight="1">
      <c r="B20" s="8" t="s">
        <v>416</v>
      </c>
      <c r="C20" s="7" t="s">
        <v>417</v>
      </c>
      <c r="D20" s="7" t="str">
        <f>IF(AND(C18="Project Emissions (PE)",C19="Included"),"Yes","NA")</f>
        <v>Yes</v>
      </c>
      <c r="E20" s="7" t="s">
        <v>80</v>
      </c>
      <c r="G20" s="7" t="s">
        <v>10</v>
      </c>
    </row>
    <row r="21" spans="2:7" ht="33">
      <c r="B21" s="8" t="s">
        <v>418</v>
      </c>
      <c r="C21" s="7" t="s">
        <v>415</v>
      </c>
      <c r="D21" s="7" t="str">
        <f>IF(C18="Project Emissions (PE)","Yes","NA")</f>
        <v>Yes</v>
      </c>
      <c r="E21" s="7" t="s">
        <v>80</v>
      </c>
      <c r="F21" s="7" t="s">
        <v>419</v>
      </c>
      <c r="G21" s="7" t="s">
        <v>10</v>
      </c>
    </row>
    <row r="22" spans="2:7" ht="15.95">
      <c r="B22" s="8" t="s">
        <v>420</v>
      </c>
      <c r="C22" s="7" t="s">
        <v>415</v>
      </c>
      <c r="D22" s="7" t="str">
        <f>IF(C18="Project Emissions (PE)","Yes","NA")</f>
        <v>Yes</v>
      </c>
      <c r="E22" s="7" t="s">
        <v>80</v>
      </c>
      <c r="G22" s="7" t="s">
        <v>10</v>
      </c>
    </row>
    <row r="23" spans="2:7" ht="15.95">
      <c r="B23" s="8" t="s">
        <v>421</v>
      </c>
      <c r="C23" s="7" t="s">
        <v>415</v>
      </c>
      <c r="D23" s="7" t="str">
        <f>IF(C18="Project Emissions (PE)","Yes","NA")</f>
        <v>Yes</v>
      </c>
      <c r="E23" s="7" t="s">
        <v>80</v>
      </c>
      <c r="G23" s="7" t="s">
        <v>10</v>
      </c>
    </row>
    <row r="24" spans="2:7" ht="15.95">
      <c r="B24" s="8" t="s">
        <v>422</v>
      </c>
      <c r="C24" s="7" t="s">
        <v>415</v>
      </c>
      <c r="D24" s="7" t="str">
        <f>IF(C18="Project Emissions (PE)","Yes","NA")</f>
        <v>Yes</v>
      </c>
      <c r="E24" s="7" t="s">
        <v>80</v>
      </c>
      <c r="G24" s="7" t="s">
        <v>10</v>
      </c>
    </row>
    <row r="25" spans="2:7" ht="15.95">
      <c r="B25" s="8" t="s">
        <v>423</v>
      </c>
      <c r="C25" s="7" t="s">
        <v>415</v>
      </c>
      <c r="D25" s="7" t="str">
        <f>IF(C18="Project Emissions (PE)","Yes","NA")</f>
        <v>Yes</v>
      </c>
      <c r="E25" s="7" t="s">
        <v>80</v>
      </c>
      <c r="G25" s="7" t="s">
        <v>10</v>
      </c>
    </row>
    <row r="26" spans="2:7" ht="45" customHeight="1">
      <c r="B26" s="8" t="s">
        <v>424</v>
      </c>
      <c r="C26" s="7" t="s">
        <v>9</v>
      </c>
      <c r="D26" s="7" t="str">
        <f>IF(OR(C24="Included",C25="Included"),"Yes","NA")</f>
        <v>Yes</v>
      </c>
      <c r="E26" s="7" t="s">
        <v>80</v>
      </c>
      <c r="G26" s="7" t="s">
        <v>10</v>
      </c>
    </row>
    <row r="27" spans="2:7" ht="32.1">
      <c r="B27" s="8" t="s">
        <v>425</v>
      </c>
      <c r="C27" s="7" t="s">
        <v>395</v>
      </c>
      <c r="D27" s="7" t="str">
        <f>IF(C18="Leakage Emissions (LE)","Yes","NA")</f>
        <v>NA</v>
      </c>
      <c r="E27" s="7" t="s">
        <v>80</v>
      </c>
      <c r="G27" s="7" t="s">
        <v>10</v>
      </c>
    </row>
    <row r="28" spans="2:7" ht="30.6" customHeight="1">
      <c r="B28" s="8" t="s">
        <v>426</v>
      </c>
      <c r="C28" s="7" t="s">
        <v>10</v>
      </c>
      <c r="D28" s="7" t="str">
        <f>IF(C27="Included","Yes","NA")</f>
        <v>NA</v>
      </c>
      <c r="E28" s="7" t="s">
        <v>80</v>
      </c>
      <c r="G28" s="7" t="s">
        <v>10</v>
      </c>
    </row>
    <row r="29" spans="2:7" ht="44.1" customHeight="1">
      <c r="B29" s="8" t="s">
        <v>427</v>
      </c>
      <c r="C29" s="7" t="s">
        <v>10</v>
      </c>
      <c r="D29" s="7" t="str">
        <f>IF(C27="Included","Yes","NA")</f>
        <v>NA</v>
      </c>
      <c r="E29" s="7" t="s">
        <v>80</v>
      </c>
      <c r="F29" s="7" t="s">
        <v>428</v>
      </c>
      <c r="G29" s="7" t="s">
        <v>10</v>
      </c>
    </row>
    <row r="30" spans="2:7" ht="32.1">
      <c r="B30" s="8" t="s">
        <v>429</v>
      </c>
      <c r="C30" s="7" t="s">
        <v>395</v>
      </c>
      <c r="D30" s="7" t="str">
        <f>IF(C18="Leakage Emissions (LE)","Yes","NA")</f>
        <v>NA</v>
      </c>
      <c r="E30" s="7" t="s">
        <v>80</v>
      </c>
      <c r="G30" s="7" t="s">
        <v>10</v>
      </c>
    </row>
    <row r="31" spans="2:7" ht="15.95">
      <c r="B31" s="8" t="s">
        <v>430</v>
      </c>
      <c r="C31" s="7" t="s">
        <v>431</v>
      </c>
      <c r="D31" s="7" t="str">
        <f>IF(C30="Included","Yes","NA")</f>
        <v>NA</v>
      </c>
      <c r="E31" s="7" t="s">
        <v>80</v>
      </c>
      <c r="G31" s="7" t="s">
        <v>10</v>
      </c>
    </row>
    <row r="32" spans="2:7" ht="32.1">
      <c r="B32" s="8" t="s">
        <v>432</v>
      </c>
      <c r="C32" s="7" t="s">
        <v>395</v>
      </c>
      <c r="D32" s="7" t="str">
        <f>IF(C18="Leakage Emissions (LE)","Yes","NA")</f>
        <v>NA</v>
      </c>
      <c r="E32" s="7" t="s">
        <v>80</v>
      </c>
      <c r="G32" s="7" t="s">
        <v>10</v>
      </c>
    </row>
    <row r="33" spans="1:7" ht="32.1">
      <c r="B33" s="8" t="s">
        <v>433</v>
      </c>
      <c r="C33" s="7" t="s">
        <v>395</v>
      </c>
      <c r="D33" s="7" t="str">
        <f>IF(C18="Leakage Emissions (LE)","Yes","NA")</f>
        <v>NA</v>
      </c>
      <c r="E33" s="7" t="s">
        <v>80</v>
      </c>
      <c r="G33" s="7" t="s">
        <v>10</v>
      </c>
    </row>
    <row r="34" spans="1:7" s="122" customFormat="1" ht="20.100000000000001">
      <c r="A34" s="122" t="s">
        <v>434</v>
      </c>
      <c r="B34" s="116" t="s">
        <v>435</v>
      </c>
      <c r="D34" s="122" t="str">
        <f>IF(AND(C18="Project Emissions (PE)",C19="Included"),"Yes","NA")</f>
        <v>Yes</v>
      </c>
    </row>
    <row r="35" spans="1:7" ht="15" customHeight="1">
      <c r="A35" s="7" t="s">
        <v>436</v>
      </c>
      <c r="B35" s="8" t="s">
        <v>437</v>
      </c>
      <c r="D35" s="7" t="str">
        <f>IF(AND(C18="Project Emissions (PE)",C19="Included"),"Yes","NA")</f>
        <v>Yes</v>
      </c>
      <c r="E35" s="7" t="s">
        <v>176</v>
      </c>
      <c r="G35" s="7" t="s">
        <v>391</v>
      </c>
    </row>
    <row r="36" spans="1:7" ht="15" customHeight="1">
      <c r="A36" s="7" t="s">
        <v>438</v>
      </c>
      <c r="B36" s="8" t="s">
        <v>439</v>
      </c>
      <c r="D36" s="7" t="str">
        <f>IF(AND(C18="Project Emissions (PE)",C19="Included"),"Yes","NA")</f>
        <v>Yes</v>
      </c>
      <c r="E36" s="7" t="s">
        <v>176</v>
      </c>
      <c r="G36" s="7" t="s">
        <v>391</v>
      </c>
    </row>
    <row r="37" spans="1:7" ht="26.45" customHeight="1">
      <c r="A37" s="7" t="s">
        <v>440</v>
      </c>
      <c r="B37" s="8" t="s">
        <v>441</v>
      </c>
      <c r="D37" s="7" t="str">
        <f>IF(AND(C18="Project Emissions (PE)",C19="Included"),"Yes","NA")</f>
        <v>Yes</v>
      </c>
      <c r="E37" s="7" t="s">
        <v>176</v>
      </c>
      <c r="G37" s="7" t="s">
        <v>391</v>
      </c>
    </row>
    <row r="38" spans="1:7" ht="15.95">
      <c r="A38" s="7" t="s">
        <v>442</v>
      </c>
      <c r="B38" s="8" t="s">
        <v>443</v>
      </c>
      <c r="C38" s="10">
        <f>((44/12)*0.47*C35*C36*(1.06+C37))+SUM(C39)</f>
        <v>0</v>
      </c>
      <c r="D38" s="7" t="str">
        <f>IF(AND(C18="Project Emissions (PE)",C19="Included"),"Yes","NA")</f>
        <v>Yes</v>
      </c>
      <c r="E38" s="7" t="s">
        <v>411</v>
      </c>
      <c r="G38" s="7" t="s">
        <v>391</v>
      </c>
    </row>
    <row r="39" spans="1:7" ht="15.95">
      <c r="B39" s="123" t="s">
        <v>444</v>
      </c>
      <c r="F39" s="7" t="s">
        <v>445</v>
      </c>
      <c r="G39" s="7" t="s">
        <v>9</v>
      </c>
    </row>
    <row r="40" spans="1:7" s="124" customFormat="1" ht="29.1" customHeight="1">
      <c r="A40" s="124" t="s">
        <v>446</v>
      </c>
      <c r="B40" s="125" t="s">
        <v>447</v>
      </c>
      <c r="D40" s="124" t="str">
        <f>IF(AND(C18="Project Emissions (PE)",C19="Included",C21="Included"),"Yes","NA")</f>
        <v>Yes</v>
      </c>
    </row>
    <row r="41" spans="1:7" ht="30.6" customHeight="1">
      <c r="A41" s="7" t="s">
        <v>448</v>
      </c>
      <c r="B41" s="8" t="s">
        <v>449</v>
      </c>
      <c r="C41" s="10" t="s">
        <v>450</v>
      </c>
      <c r="D41" s="7" t="str">
        <f>IF(AND(C18="Project Emissions (PE)",C19="Included",C21="Included"),"Yes","NA")</f>
        <v>Yes</v>
      </c>
      <c r="E41" s="7" t="s">
        <v>451</v>
      </c>
      <c r="G41" s="7" t="s">
        <v>391</v>
      </c>
    </row>
    <row r="42" spans="1:7" ht="29.45" customHeight="1">
      <c r="A42" s="7" t="s">
        <v>452</v>
      </c>
      <c r="B42" s="8" t="s">
        <v>453</v>
      </c>
      <c r="C42" s="10" t="s">
        <v>454</v>
      </c>
      <c r="D42" s="7" t="str">
        <f>IF(AND(C18="Project Emissions (PE)",C19="Included",C21="Included"),"Yes","NA")</f>
        <v>Yes</v>
      </c>
      <c r="E42" s="7" t="s">
        <v>451</v>
      </c>
      <c r="G42" s="7" t="s">
        <v>391</v>
      </c>
    </row>
    <row r="43" spans="1:7" ht="32.1">
      <c r="A43" s="7" t="s">
        <v>446</v>
      </c>
      <c r="B43" s="8" t="s">
        <v>447</v>
      </c>
      <c r="C43" s="10" t="e">
        <f>C41+C42</f>
        <v>#VALUE!</v>
      </c>
      <c r="D43" s="7" t="str">
        <f>IF(AND(C18="Project Emissions (PE)",C19="Included",C21="Included"),"Yes","NA")</f>
        <v>Yes</v>
      </c>
      <c r="E43" s="7" t="s">
        <v>411</v>
      </c>
      <c r="G43" s="7" t="s">
        <v>391</v>
      </c>
    </row>
    <row r="44" spans="1:7" s="124" customFormat="1" ht="15" customHeight="1">
      <c r="A44" s="124" t="s">
        <v>455</v>
      </c>
      <c r="B44" s="125" t="s">
        <v>456</v>
      </c>
      <c r="D44" s="124" t="str">
        <f>IF(AND(C18="Project Emissions (PE)",C19="Included"),"Yes","NA")</f>
        <v>Yes</v>
      </c>
    </row>
    <row r="45" spans="1:7" ht="15" customHeight="1">
      <c r="A45" s="7" t="s">
        <v>457</v>
      </c>
      <c r="B45" s="8" t="s">
        <v>458</v>
      </c>
      <c r="D45" s="7" t="str">
        <f>IF(AND(C18="Project Emissions (PE)",C19="Included"),"Yes","NA")</f>
        <v>Yes</v>
      </c>
      <c r="E45" s="7" t="s">
        <v>176</v>
      </c>
      <c r="G45" s="7" t="s">
        <v>391</v>
      </c>
    </row>
    <row r="46" spans="1:7" ht="15" customHeight="1">
      <c r="A46" s="7" t="s">
        <v>459</v>
      </c>
      <c r="B46" s="8" t="s">
        <v>460</v>
      </c>
      <c r="D46" s="7" t="str">
        <f>IF(AND(C18="Project Emissions (PE)",C19="Included"),"Yes","NA")</f>
        <v>Yes</v>
      </c>
      <c r="E46" s="7" t="s">
        <v>176</v>
      </c>
      <c r="G46" s="7" t="s">
        <v>391</v>
      </c>
    </row>
    <row r="47" spans="1:7" ht="30.6" customHeight="1">
      <c r="A47" s="7" t="s">
        <v>461</v>
      </c>
      <c r="B47" s="8" t="s">
        <v>462</v>
      </c>
      <c r="C47" s="10">
        <f>IF(C20="Limestone",0.12,IF(C20="Dolomite",0.13,IF(C20="Urea",0.2)))</f>
        <v>0.2</v>
      </c>
      <c r="D47" s="7" t="str">
        <f>IF(AND(C18="Project Emissions (PE)",C19="Included"),"Yes","NA")</f>
        <v>Yes</v>
      </c>
      <c r="E47" s="7" t="s">
        <v>411</v>
      </c>
      <c r="F47" s="7" t="s">
        <v>463</v>
      </c>
      <c r="G47" s="7" t="s">
        <v>391</v>
      </c>
    </row>
    <row r="48" spans="1:7" ht="15.95">
      <c r="A48" s="7" t="s">
        <v>455</v>
      </c>
      <c r="B48" s="8" t="s">
        <v>456</v>
      </c>
      <c r="C48" s="10">
        <f>(C45*C46*C47)+SUM(C49)</f>
        <v>0</v>
      </c>
      <c r="D48" s="7" t="str">
        <f>IF(AND(C18="Project Emissions (PE)",C19="Included"),"Yes","NA")</f>
        <v>Yes</v>
      </c>
      <c r="E48" s="7" t="s">
        <v>411</v>
      </c>
      <c r="G48" s="7" t="s">
        <v>391</v>
      </c>
    </row>
    <row r="49" spans="1:7" ht="15.95">
      <c r="B49" s="123" t="s">
        <v>444</v>
      </c>
      <c r="F49" s="7" t="s">
        <v>464</v>
      </c>
      <c r="G49" s="7" t="s">
        <v>9</v>
      </c>
    </row>
    <row r="50" spans="1:7" s="6" customFormat="1" ht="15" customHeight="1">
      <c r="A50" s="124" t="s">
        <v>465</v>
      </c>
      <c r="B50" s="125" t="s">
        <v>466</v>
      </c>
      <c r="D50" s="6" t="str">
        <f>IF(C20="NA","No",IF(AND(C18="Project Emissions (PE)",C19="Included"),"Yes","NA"))</f>
        <v>Yes</v>
      </c>
    </row>
    <row r="51" spans="1:7" ht="15" customHeight="1">
      <c r="A51" s="7" t="s">
        <v>467</v>
      </c>
      <c r="B51" s="8" t="s">
        <v>468</v>
      </c>
      <c r="D51" s="7" t="str">
        <f>IF(C20="NA","No",IF(AND(C18="Project Emissions (PE)",C19="Included"),"Yes","NA"))</f>
        <v>Yes</v>
      </c>
      <c r="E51" s="7" t="s">
        <v>176</v>
      </c>
      <c r="G51" s="7" t="s">
        <v>391</v>
      </c>
    </row>
    <row r="52" spans="1:7" ht="15" customHeight="1" thickBot="1">
      <c r="A52" s="7" t="s">
        <v>469</v>
      </c>
      <c r="B52" s="8" t="s">
        <v>470</v>
      </c>
      <c r="D52" s="7" t="str">
        <f>IF(C20="NA","No",IF(AND(C18="Project Emissions (PE)",C19="Included"),"Yes","NA"))</f>
        <v>Yes</v>
      </c>
      <c r="E52" s="7" t="s">
        <v>176</v>
      </c>
      <c r="G52" s="7" t="s">
        <v>391</v>
      </c>
    </row>
    <row r="53" spans="1:7" ht="29.1" customHeight="1" thickBot="1">
      <c r="A53" s="7" t="s">
        <v>471</v>
      </c>
      <c r="B53" s="8" t="s">
        <v>472</v>
      </c>
      <c r="C53" s="126">
        <v>11.29</v>
      </c>
      <c r="D53" s="7" t="str">
        <f>IF(C20="NA","No",IF(AND(C18="Project Emissions (PE)",C19="Included"),"Yes","NA"))</f>
        <v>Yes</v>
      </c>
      <c r="E53" s="7" t="s">
        <v>473</v>
      </c>
      <c r="F53" s="7" t="s">
        <v>474</v>
      </c>
      <c r="G53" s="7" t="s">
        <v>391</v>
      </c>
    </row>
    <row r="54" spans="1:7" ht="15.95">
      <c r="A54" s="7" t="s">
        <v>465</v>
      </c>
      <c r="B54" s="8" t="s">
        <v>466</v>
      </c>
      <c r="C54" s="10">
        <f>C51*C52*C53</f>
        <v>0</v>
      </c>
      <c r="D54" s="7" t="str">
        <f>IF(C20="NA","No",IF(AND(C18="Project Emissions (PE)",C19="Included"),"Yes","NA"))</f>
        <v>Yes</v>
      </c>
      <c r="E54" s="7" t="s">
        <v>411</v>
      </c>
      <c r="G54" s="7" t="s">
        <v>391</v>
      </c>
    </row>
    <row r="55" spans="1:7" s="124" customFormat="1" ht="15.95">
      <c r="A55" s="124" t="s">
        <v>475</v>
      </c>
      <c r="B55" s="125" t="s">
        <v>476</v>
      </c>
      <c r="D55" s="124" t="str">
        <f>IF(AND(C18="Project Emissions (PE)",C19="Included"),"Yes","NA")</f>
        <v>Yes</v>
      </c>
    </row>
    <row r="56" spans="1:7" ht="15.95">
      <c r="A56" s="7" t="s">
        <v>475</v>
      </c>
      <c r="B56" s="8" t="s">
        <v>477</v>
      </c>
      <c r="C56" s="10">
        <f>C54+C48</f>
        <v>0</v>
      </c>
      <c r="D56" s="7" t="str">
        <f>IF(AND(C18="Project Emissions (PE)",C19="Included"),"Yes","NA")</f>
        <v>Yes</v>
      </c>
      <c r="E56" s="7" t="s">
        <v>411</v>
      </c>
      <c r="G56" s="7" t="s">
        <v>10</v>
      </c>
    </row>
    <row r="57" spans="1:7" s="124" customFormat="1" ht="15.95">
      <c r="A57" s="124" t="s">
        <v>478</v>
      </c>
      <c r="B57" s="125" t="s">
        <v>479</v>
      </c>
      <c r="D57" s="124" t="str">
        <f>IF(AND(C18="Project Emissions (PE)",C19="Included"),"Yes","NA")</f>
        <v>Yes</v>
      </c>
    </row>
    <row r="58" spans="1:7" ht="15.95">
      <c r="A58" s="7" t="s">
        <v>480</v>
      </c>
      <c r="B58" s="8" t="s">
        <v>481</v>
      </c>
      <c r="D58" s="7" t="str">
        <f>IF(AND(C18="Project Emissions (PE)",C19="Included"),"Yes","NA")</f>
        <v>Yes</v>
      </c>
      <c r="E58" s="7" t="s">
        <v>176</v>
      </c>
      <c r="G58" s="7" t="s">
        <v>391</v>
      </c>
    </row>
    <row r="59" spans="1:7" ht="15.95">
      <c r="A59" s="7" t="s">
        <v>482</v>
      </c>
      <c r="B59" s="8" t="s">
        <v>483</v>
      </c>
      <c r="D59" s="7" t="str">
        <f>IF(AND(C18="Project Emissions (PE)",C19="Included"),"Yes","NA")</f>
        <v>Yes</v>
      </c>
      <c r="E59" s="7" t="s">
        <v>176</v>
      </c>
      <c r="F59" s="7" t="s">
        <v>484</v>
      </c>
      <c r="G59" s="7" t="s">
        <v>391</v>
      </c>
    </row>
    <row r="60" spans="1:7" ht="15.95">
      <c r="A60" s="7" t="s">
        <v>485</v>
      </c>
      <c r="B60" s="8" t="s">
        <v>486</v>
      </c>
      <c r="D60" s="7" t="str">
        <f>IF(AND(C18="Project Emissions (PE)",C19="Included"),"Yes","NA")</f>
        <v>Yes</v>
      </c>
      <c r="E60" s="7" t="s">
        <v>176</v>
      </c>
      <c r="F60" s="7" t="s">
        <v>487</v>
      </c>
      <c r="G60" s="7" t="s">
        <v>391</v>
      </c>
    </row>
    <row r="61" spans="1:7" ht="15.95">
      <c r="A61" s="7" t="s">
        <v>488</v>
      </c>
      <c r="B61" s="8" t="s">
        <v>489</v>
      </c>
      <c r="D61" s="7" t="str">
        <f>IF(AND(C18="Project Emissions (PE)",C19="Included"),"Yes","NA")</f>
        <v>Yes</v>
      </c>
      <c r="E61" s="7" t="s">
        <v>176</v>
      </c>
      <c r="F61" s="7" t="s">
        <v>490</v>
      </c>
      <c r="G61" s="7" t="s">
        <v>391</v>
      </c>
    </row>
    <row r="62" spans="1:7" ht="15.95">
      <c r="A62" s="7" t="s">
        <v>491</v>
      </c>
      <c r="B62" s="8" t="s">
        <v>492</v>
      </c>
      <c r="D62" s="7" t="str">
        <f>IF(AND(C18="Project Emissions (PE)",C19="Included"),"Yes","NA")</f>
        <v>Yes</v>
      </c>
      <c r="E62" s="7" t="s">
        <v>176</v>
      </c>
      <c r="F62" s="7" t="s">
        <v>487</v>
      </c>
      <c r="G62" s="7" t="s">
        <v>391</v>
      </c>
    </row>
    <row r="63" spans="1:7" ht="15.95">
      <c r="A63" s="7" t="s">
        <v>493</v>
      </c>
      <c r="B63" s="8" t="s">
        <v>494</v>
      </c>
      <c r="D63" s="7" t="str">
        <f>IF(AND(C18="Project Emissions (PE)",C19="Included"),"Yes","NA")</f>
        <v>Yes</v>
      </c>
      <c r="E63" s="7" t="s">
        <v>176</v>
      </c>
      <c r="F63" s="7" t="s">
        <v>490</v>
      </c>
      <c r="G63" s="7" t="s">
        <v>391</v>
      </c>
    </row>
    <row r="64" spans="1:7" ht="15.95">
      <c r="A64" s="7" t="s">
        <v>495</v>
      </c>
      <c r="B64" s="8" t="s">
        <v>496</v>
      </c>
      <c r="D64" s="7" t="str">
        <f>IF(AND(C18="Project Emissions (PE)",C19="Included"),"Yes","NA")</f>
        <v>Yes</v>
      </c>
      <c r="E64" s="7" t="s">
        <v>176</v>
      </c>
      <c r="F64" s="7" t="s">
        <v>487</v>
      </c>
      <c r="G64" s="7" t="s">
        <v>391</v>
      </c>
    </row>
    <row r="65" spans="1:7" ht="15.95">
      <c r="A65" s="7" t="s">
        <v>497</v>
      </c>
      <c r="B65" s="8" t="s">
        <v>498</v>
      </c>
      <c r="D65" s="7" t="str">
        <f>IF(AND(C18="Project Emissions (PE)",C19="Included"),"Yes","NA")</f>
        <v>Yes</v>
      </c>
      <c r="E65" s="7" t="s">
        <v>176</v>
      </c>
      <c r="F65" s="7" t="s">
        <v>490</v>
      </c>
      <c r="G65" s="7" t="s">
        <v>391</v>
      </c>
    </row>
    <row r="66" spans="1:7" ht="15.95">
      <c r="A66" s="7" t="s">
        <v>478</v>
      </c>
      <c r="B66" s="8" t="s">
        <v>479</v>
      </c>
      <c r="C66" s="10">
        <f>1.21*C58*C59*(C60*C61*C62-C63*C64*C65)</f>
        <v>0</v>
      </c>
      <c r="D66" s="7" t="str">
        <f>IF(AND(C18="Project Emissions (PE)",C19="Included"),"Yes","NA")</f>
        <v>Yes</v>
      </c>
      <c r="E66" s="7" t="s">
        <v>411</v>
      </c>
      <c r="F66" s="7" t="s">
        <v>499</v>
      </c>
      <c r="G66" s="7" t="s">
        <v>391</v>
      </c>
    </row>
    <row r="67" spans="1:7" ht="15.95">
      <c r="B67" s="123" t="s">
        <v>444</v>
      </c>
      <c r="F67" s="7" t="s">
        <v>500</v>
      </c>
      <c r="G67" s="7" t="s">
        <v>9</v>
      </c>
    </row>
    <row r="68" spans="1:7" s="124" customFormat="1" ht="15.95">
      <c r="A68" s="124" t="s">
        <v>501</v>
      </c>
      <c r="B68" s="125" t="s">
        <v>502</v>
      </c>
      <c r="D68" s="124" t="str">
        <f>IF(AND(C18="Project Emissions (PE)",C19="Included",C21="Included"),"Yes","NA")</f>
        <v>Yes</v>
      </c>
    </row>
    <row r="69" spans="1:7" ht="15.95">
      <c r="A69" s="7" t="s">
        <v>503</v>
      </c>
      <c r="B69" s="8" t="s">
        <v>504</v>
      </c>
      <c r="D69" s="7" t="str">
        <f>IF(AND(C18="Project Emissions (PE)",C19="Included",C21="Included"),"Yes","NA")</f>
        <v>Yes</v>
      </c>
      <c r="E69" s="7" t="s">
        <v>80</v>
      </c>
      <c r="G69" s="7" t="s">
        <v>10</v>
      </c>
    </row>
    <row r="70" spans="1:7" ht="17.100000000000001" thickBot="1">
      <c r="A70" s="7" t="s">
        <v>501</v>
      </c>
      <c r="B70" s="8" t="s">
        <v>502</v>
      </c>
      <c r="C70" s="10" t="e">
        <f>MAX((44/12)*(1.179/C69)*SUM(C66:C67),0)</f>
        <v>#DIV/0!</v>
      </c>
      <c r="D70" s="7" t="str">
        <f>IF(AND(C18="Project Emissions (PE)",C19="Included"),"Yes","NA")</f>
        <v>Yes</v>
      </c>
      <c r="E70" s="7" t="s">
        <v>411</v>
      </c>
      <c r="F70" s="7" t="s">
        <v>505</v>
      </c>
      <c r="G70" s="7" t="s">
        <v>10</v>
      </c>
    </row>
    <row r="71" spans="1:7" s="127" customFormat="1" ht="14.1" customHeight="1" thickTop="1" thickBot="1">
      <c r="A71" s="127" t="s">
        <v>434</v>
      </c>
      <c r="B71" s="117" t="s">
        <v>435</v>
      </c>
      <c r="C71" s="128" t="e">
        <f>C70+C56+C43+C38</f>
        <v>#DIV/0!</v>
      </c>
      <c r="D71" s="127" t="str">
        <f>IF(AND(C18="Project Emissions (PE)",C19="Included"),"Yes","NA")</f>
        <v>Yes</v>
      </c>
      <c r="E71" s="127" t="s">
        <v>411</v>
      </c>
      <c r="F71" s="127" t="s">
        <v>506</v>
      </c>
      <c r="G71" s="127" t="s">
        <v>10</v>
      </c>
    </row>
    <row r="72" spans="1:7" s="122" customFormat="1" ht="42" thickTop="1" thickBot="1">
      <c r="A72" s="122" t="s">
        <v>507</v>
      </c>
      <c r="B72" s="116" t="s">
        <v>508</v>
      </c>
      <c r="D72" s="122" t="str">
        <f>IF(OR(C22="Included",C23="Included"),"Yes","NA")</f>
        <v>Yes</v>
      </c>
      <c r="F72" s="122" t="s">
        <v>509</v>
      </c>
    </row>
    <row r="73" spans="1:7" s="127" customFormat="1" ht="18" thickTop="1" thickBot="1">
      <c r="A73" s="127" t="s">
        <v>510</v>
      </c>
      <c r="B73" s="117" t="s">
        <v>511</v>
      </c>
      <c r="C73" s="128" t="s">
        <v>512</v>
      </c>
      <c r="D73" s="127" t="str">
        <f>IF(C22="Included","Yes","NA")</f>
        <v>Yes</v>
      </c>
      <c r="E73" s="127" t="s">
        <v>451</v>
      </c>
      <c r="F73" s="127" t="s">
        <v>513</v>
      </c>
      <c r="G73" s="127" t="s">
        <v>10</v>
      </c>
    </row>
    <row r="74" spans="1:7" s="127" customFormat="1" ht="18" thickTop="1" thickBot="1">
      <c r="A74" s="127" t="s">
        <v>514</v>
      </c>
      <c r="B74" s="117" t="s">
        <v>515</v>
      </c>
      <c r="C74" s="128" t="s">
        <v>512</v>
      </c>
      <c r="D74" s="127" t="str">
        <f>IF(C23="Included","Yes","NA")</f>
        <v>Yes</v>
      </c>
      <c r="E74" s="127" t="s">
        <v>451</v>
      </c>
      <c r="F74" s="127" t="s">
        <v>516</v>
      </c>
      <c r="G74" s="127" t="s">
        <v>10</v>
      </c>
    </row>
    <row r="75" spans="1:7" s="122" customFormat="1" ht="41.1" thickTop="1">
      <c r="A75" s="122" t="s">
        <v>517</v>
      </c>
      <c r="B75" s="116" t="s">
        <v>518</v>
      </c>
      <c r="D75" s="122" t="str">
        <f>IF(OR(C24="Included",C25="Included"),"Yes","NA")</f>
        <v>Yes</v>
      </c>
    </row>
    <row r="76" spans="1:7" ht="32.1">
      <c r="A76" s="7" t="s">
        <v>519</v>
      </c>
      <c r="B76" s="8" t="s">
        <v>520</v>
      </c>
      <c r="C76" s="10" t="s">
        <v>521</v>
      </c>
      <c r="D76" s="7" t="str">
        <f>IF(C24="Included","Yes","NA")</f>
        <v>Yes</v>
      </c>
      <c r="E76" s="7" t="s">
        <v>451</v>
      </c>
      <c r="F76" s="7" t="s">
        <v>522</v>
      </c>
      <c r="G76" s="7" t="s">
        <v>10</v>
      </c>
    </row>
    <row r="77" spans="1:7" ht="32.1">
      <c r="A77" s="7" t="s">
        <v>523</v>
      </c>
      <c r="B77" s="8" t="s">
        <v>524</v>
      </c>
      <c r="C77" s="10" t="s">
        <v>450</v>
      </c>
      <c r="D77" s="7" t="str">
        <f>IF(C24="Included","Yes","NA")</f>
        <v>Yes</v>
      </c>
      <c r="E77" s="7" t="s">
        <v>451</v>
      </c>
      <c r="G77" s="7" t="s">
        <v>10</v>
      </c>
    </row>
    <row r="78" spans="1:7" ht="32.1">
      <c r="A78" s="7" t="s">
        <v>525</v>
      </c>
      <c r="B78" s="8" t="s">
        <v>526</v>
      </c>
      <c r="C78" s="10" t="s">
        <v>527</v>
      </c>
      <c r="D78" s="7" t="str">
        <f>IF(C24="Included","Yes","NA")</f>
        <v>Yes</v>
      </c>
      <c r="E78" s="7" t="s">
        <v>451</v>
      </c>
      <c r="G78" s="7" t="s">
        <v>10</v>
      </c>
    </row>
    <row r="79" spans="1:7" ht="17.100000000000001" thickBot="1">
      <c r="A79" s="7" t="s">
        <v>528</v>
      </c>
      <c r="B79" s="8" t="s">
        <v>529</v>
      </c>
      <c r="C79" s="10" t="e">
        <f>C76+C77+C78</f>
        <v>#VALUE!</v>
      </c>
      <c r="D79" s="7" t="str">
        <f>IF(C24="Included","Yes","NA")</f>
        <v>Yes</v>
      </c>
      <c r="F79" s="7" t="s">
        <v>530</v>
      </c>
      <c r="G79" s="7" t="s">
        <v>10</v>
      </c>
    </row>
    <row r="80" spans="1:7" ht="17.100000000000001" thickBot="1">
      <c r="A80" s="7" t="s">
        <v>531</v>
      </c>
      <c r="B80" s="8" t="s">
        <v>532</v>
      </c>
      <c r="C80" s="126">
        <v>28</v>
      </c>
      <c r="D80" s="7" t="str">
        <f>IF(C24="Included","Yes","NA")</f>
        <v>Yes</v>
      </c>
      <c r="E80" s="7" t="s">
        <v>533</v>
      </c>
      <c r="G80" s="7" t="s">
        <v>10</v>
      </c>
    </row>
    <row r="81" spans="1:7" ht="15.95">
      <c r="A81" s="7" t="s">
        <v>534</v>
      </c>
      <c r="B81" s="8" t="s">
        <v>535</v>
      </c>
      <c r="D81" s="7" t="str">
        <f>IF(C24="Included","Yes","NA")</f>
        <v>Yes</v>
      </c>
      <c r="E81" s="7" t="s">
        <v>176</v>
      </c>
      <c r="G81" s="7" t="s">
        <v>10</v>
      </c>
    </row>
    <row r="82" spans="1:7" ht="15.95">
      <c r="A82" s="7" t="s">
        <v>536</v>
      </c>
      <c r="B82" s="8" t="s">
        <v>537</v>
      </c>
      <c r="D82" s="7" t="str">
        <f>IF(C24="Included","Yes","NA")</f>
        <v>Yes</v>
      </c>
      <c r="E82" s="7" t="s">
        <v>176</v>
      </c>
      <c r="G82" s="7" t="s">
        <v>10</v>
      </c>
    </row>
    <row r="83" spans="1:7" ht="15.95">
      <c r="A83" s="7" t="s">
        <v>538</v>
      </c>
      <c r="B83" s="8" t="s">
        <v>539</v>
      </c>
      <c r="D83" s="7" t="str">
        <f>IF(C24="Included","Yes","NA")</f>
        <v>Yes</v>
      </c>
      <c r="E83" s="7" t="s">
        <v>176</v>
      </c>
      <c r="G83" s="7" t="s">
        <v>10</v>
      </c>
    </row>
    <row r="84" spans="1:7" ht="15.95">
      <c r="A84" s="7" t="s">
        <v>540</v>
      </c>
      <c r="B84" s="8" t="s">
        <v>541</v>
      </c>
      <c r="D84" s="7" t="str">
        <f>IF(C24="Included","Yes","NA")</f>
        <v>Yes</v>
      </c>
      <c r="E84" s="7" t="s">
        <v>176</v>
      </c>
      <c r="G84" s="7" t="s">
        <v>10</v>
      </c>
    </row>
    <row r="85" spans="1:7" ht="32.1">
      <c r="A85" s="7" t="s">
        <v>542</v>
      </c>
      <c r="B85" s="8" t="s">
        <v>543</v>
      </c>
      <c r="C85" s="10">
        <f>C80*C81*C82*C83*C84</f>
        <v>0</v>
      </c>
      <c r="D85" s="7" t="str">
        <f>IF(C24="Included","Yes","NA")</f>
        <v>Yes</v>
      </c>
      <c r="E85" s="7" t="s">
        <v>411</v>
      </c>
      <c r="G85" s="7" t="s">
        <v>10</v>
      </c>
    </row>
    <row r="86" spans="1:7" ht="32.1">
      <c r="A86" s="7" t="s">
        <v>544</v>
      </c>
      <c r="B86" s="8" t="s">
        <v>545</v>
      </c>
      <c r="C86" s="10" t="s">
        <v>450</v>
      </c>
      <c r="D86" s="7" t="str">
        <f>IF(C24="Included","Yes","NA")</f>
        <v>Yes</v>
      </c>
      <c r="E86" s="7" t="s">
        <v>451</v>
      </c>
      <c r="G86" s="7" t="s">
        <v>10</v>
      </c>
    </row>
    <row r="87" spans="1:7" ht="32.1">
      <c r="A87" s="7" t="s">
        <v>546</v>
      </c>
      <c r="B87" s="8" t="s">
        <v>547</v>
      </c>
      <c r="C87" s="10" t="s">
        <v>527</v>
      </c>
      <c r="D87" s="7" t="str">
        <f>IF(C24="Included","Yes","NA")</f>
        <v>Yes</v>
      </c>
      <c r="E87" s="7" t="s">
        <v>451</v>
      </c>
      <c r="G87" s="7" t="s">
        <v>10</v>
      </c>
    </row>
    <row r="88" spans="1:7" ht="32.1">
      <c r="A88" s="7" t="s">
        <v>548</v>
      </c>
      <c r="B88" s="8" t="s">
        <v>549</v>
      </c>
      <c r="C88" s="10" t="s">
        <v>550</v>
      </c>
      <c r="D88" s="7" t="str">
        <f>IF(C24="Included","Yes","NA")</f>
        <v>Yes</v>
      </c>
      <c r="E88" s="7" t="s">
        <v>451</v>
      </c>
      <c r="G88" s="7" t="s">
        <v>10</v>
      </c>
    </row>
    <row r="89" spans="1:7" ht="32.1">
      <c r="A89" s="7" t="s">
        <v>551</v>
      </c>
      <c r="B89" s="8" t="s">
        <v>552</v>
      </c>
      <c r="C89" s="10" t="s">
        <v>553</v>
      </c>
      <c r="D89" s="7" t="str">
        <f>IF(C24="Included","Yes","NA")</f>
        <v>Yes</v>
      </c>
      <c r="E89" s="7" t="s">
        <v>451</v>
      </c>
      <c r="G89" s="7" t="s">
        <v>10</v>
      </c>
    </row>
    <row r="90" spans="1:7" ht="33" thickBot="1">
      <c r="A90" s="7" t="s">
        <v>554</v>
      </c>
      <c r="B90" s="8" t="s">
        <v>555</v>
      </c>
      <c r="C90" s="10" t="s">
        <v>556</v>
      </c>
      <c r="D90" s="7" t="str">
        <f>IF(C24="Included","Yes","NA")</f>
        <v>Yes</v>
      </c>
      <c r="E90" s="7" t="s">
        <v>451</v>
      </c>
      <c r="G90" s="7" t="s">
        <v>10</v>
      </c>
    </row>
    <row r="91" spans="1:7" s="127" customFormat="1" ht="15" customHeight="1" thickTop="1" thickBot="1">
      <c r="A91" s="127" t="s">
        <v>557</v>
      </c>
      <c r="B91" s="117" t="s">
        <v>558</v>
      </c>
      <c r="C91" s="128" t="e">
        <f>C86+C87+C88+C89+C90+C85+C79</f>
        <v>#VALUE!</v>
      </c>
      <c r="D91" s="127" t="str">
        <f>IF(C24="Included","Yes","NA")</f>
        <v>Yes</v>
      </c>
      <c r="E91" s="127" t="s">
        <v>411</v>
      </c>
      <c r="G91" s="127" t="s">
        <v>10</v>
      </c>
    </row>
    <row r="92" spans="1:7" ht="33" thickTop="1">
      <c r="A92" s="7" t="s">
        <v>559</v>
      </c>
      <c r="B92" s="8" t="s">
        <v>560</v>
      </c>
      <c r="C92" s="10" t="s">
        <v>521</v>
      </c>
      <c r="D92" s="7" t="str">
        <f>IF(C25="Included","Yes","NA")</f>
        <v>Yes</v>
      </c>
      <c r="E92" s="7" t="s">
        <v>451</v>
      </c>
      <c r="F92" s="7" t="s">
        <v>522</v>
      </c>
      <c r="G92" s="7" t="s">
        <v>10</v>
      </c>
    </row>
    <row r="93" spans="1:7" ht="32.1">
      <c r="A93" s="7" t="s">
        <v>561</v>
      </c>
      <c r="B93" s="8" t="s">
        <v>562</v>
      </c>
      <c r="C93" s="10" t="s">
        <v>450</v>
      </c>
      <c r="D93" s="7" t="str">
        <f>IF(C25="Included","Yes","NA")</f>
        <v>Yes</v>
      </c>
      <c r="E93" s="7" t="s">
        <v>451</v>
      </c>
      <c r="G93" s="7" t="s">
        <v>10</v>
      </c>
    </row>
    <row r="94" spans="1:7" ht="32.1">
      <c r="A94" s="7" t="s">
        <v>563</v>
      </c>
      <c r="B94" s="8" t="s">
        <v>564</v>
      </c>
      <c r="C94" s="10" t="s">
        <v>527</v>
      </c>
      <c r="D94" s="7" t="str">
        <f>IF(C25="Included","Yes","NA")</f>
        <v>Yes</v>
      </c>
      <c r="E94" s="7" t="s">
        <v>451</v>
      </c>
      <c r="G94" s="7" t="s">
        <v>10</v>
      </c>
    </row>
    <row r="95" spans="1:7" ht="17.100000000000001" thickBot="1">
      <c r="A95" s="7" t="s">
        <v>565</v>
      </c>
      <c r="B95" s="8" t="s">
        <v>566</v>
      </c>
      <c r="C95" s="129" t="e">
        <f>C92+C93+C94</f>
        <v>#VALUE!</v>
      </c>
      <c r="D95" s="7" t="str">
        <f>IF(C25="Included","Yes","NA")</f>
        <v>Yes</v>
      </c>
      <c r="F95" s="7" t="s">
        <v>530</v>
      </c>
      <c r="G95" s="7" t="s">
        <v>10</v>
      </c>
    </row>
    <row r="96" spans="1:7" ht="17.100000000000001" thickBot="1">
      <c r="A96" s="7" t="s">
        <v>531</v>
      </c>
      <c r="B96" s="8" t="s">
        <v>532</v>
      </c>
      <c r="C96" s="126">
        <v>28</v>
      </c>
      <c r="D96" s="7" t="str">
        <f>IF(C25="Included","Yes","NA")</f>
        <v>Yes</v>
      </c>
      <c r="E96" s="7" t="s">
        <v>533</v>
      </c>
      <c r="G96" s="7" t="s">
        <v>10</v>
      </c>
    </row>
    <row r="97" spans="1:7" ht="15.95">
      <c r="A97" s="7" t="s">
        <v>567</v>
      </c>
      <c r="B97" s="8" t="s">
        <v>568</v>
      </c>
      <c r="D97" s="7" t="str">
        <f>IF(C25="Included","Yes","NA")</f>
        <v>Yes</v>
      </c>
      <c r="E97" s="7" t="s">
        <v>176</v>
      </c>
      <c r="G97" s="7" t="s">
        <v>10</v>
      </c>
    </row>
    <row r="98" spans="1:7" ht="32.1">
      <c r="A98" s="7" t="s">
        <v>569</v>
      </c>
      <c r="B98" s="8" t="s">
        <v>570</v>
      </c>
      <c r="D98" s="7" t="str">
        <f>IF(C25="Included","Yes","NA")</f>
        <v>Yes</v>
      </c>
      <c r="E98" s="7" t="s">
        <v>176</v>
      </c>
      <c r="G98" s="7" t="s">
        <v>10</v>
      </c>
    </row>
    <row r="99" spans="1:7" ht="15.95">
      <c r="A99" s="7" t="s">
        <v>538</v>
      </c>
      <c r="B99" s="8" t="s">
        <v>539</v>
      </c>
      <c r="D99" s="7" t="str">
        <f>IF(C25="Included","Yes","NA")</f>
        <v>Yes</v>
      </c>
      <c r="E99" s="7" t="s">
        <v>176</v>
      </c>
      <c r="G99" s="7" t="s">
        <v>10</v>
      </c>
    </row>
    <row r="100" spans="1:7" ht="32.1">
      <c r="A100" s="7" t="s">
        <v>571</v>
      </c>
      <c r="B100" s="8" t="s">
        <v>572</v>
      </c>
      <c r="D100" s="7" t="str">
        <f>IF(C25="Included","Yes","NA")</f>
        <v>Yes</v>
      </c>
      <c r="E100" s="7" t="s">
        <v>176</v>
      </c>
      <c r="G100" s="7" t="s">
        <v>10</v>
      </c>
    </row>
    <row r="101" spans="1:7" ht="32.1">
      <c r="A101" s="7" t="s">
        <v>573</v>
      </c>
      <c r="B101" s="8" t="s">
        <v>574</v>
      </c>
      <c r="C101" s="10">
        <f>C96*C97*C98*C99*C100</f>
        <v>0</v>
      </c>
      <c r="D101" s="7" t="str">
        <f>IF(C25="Included","Yes","NA")</f>
        <v>Yes</v>
      </c>
      <c r="E101" s="7" t="s">
        <v>411</v>
      </c>
      <c r="G101" s="7" t="s">
        <v>10</v>
      </c>
    </row>
    <row r="102" spans="1:7" ht="32.1">
      <c r="A102" s="7" t="s">
        <v>575</v>
      </c>
      <c r="B102" s="8" t="s">
        <v>576</v>
      </c>
      <c r="C102" s="10" t="s">
        <v>450</v>
      </c>
      <c r="D102" s="7" t="str">
        <f>IF(C25="Included","Yes","NA")</f>
        <v>Yes</v>
      </c>
      <c r="E102" s="7" t="s">
        <v>451</v>
      </c>
      <c r="G102" s="7" t="s">
        <v>10</v>
      </c>
    </row>
    <row r="103" spans="1:7" ht="32.1">
      <c r="A103" s="7" t="s">
        <v>577</v>
      </c>
      <c r="B103" s="8" t="s">
        <v>578</v>
      </c>
      <c r="C103" s="10" t="s">
        <v>527</v>
      </c>
      <c r="D103" s="7" t="str">
        <f>IF(C25="Included","Yes","NA")</f>
        <v>Yes</v>
      </c>
      <c r="E103" s="7" t="s">
        <v>451</v>
      </c>
      <c r="G103" s="7" t="s">
        <v>10</v>
      </c>
    </row>
    <row r="104" spans="1:7" ht="32.1">
      <c r="A104" s="7" t="s">
        <v>579</v>
      </c>
      <c r="B104" s="8" t="s">
        <v>580</v>
      </c>
      <c r="C104" s="10" t="s">
        <v>550</v>
      </c>
      <c r="D104" s="7" t="str">
        <f>IF(C25="Included","Yes","NA")</f>
        <v>Yes</v>
      </c>
      <c r="E104" s="7" t="s">
        <v>451</v>
      </c>
      <c r="G104" s="7" t="s">
        <v>10</v>
      </c>
    </row>
    <row r="105" spans="1:7" ht="32.1">
      <c r="A105" s="7" t="s">
        <v>581</v>
      </c>
      <c r="B105" s="8" t="s">
        <v>582</v>
      </c>
      <c r="C105" s="10" t="s">
        <v>553</v>
      </c>
      <c r="D105" s="7" t="str">
        <f>IF(C25="Included","Yes","NA")</f>
        <v>Yes</v>
      </c>
      <c r="E105" s="7" t="s">
        <v>451</v>
      </c>
      <c r="G105" s="7" t="s">
        <v>10</v>
      </c>
    </row>
    <row r="106" spans="1:7" ht="33" thickBot="1">
      <c r="A106" s="7" t="s">
        <v>583</v>
      </c>
      <c r="B106" s="8" t="s">
        <v>584</v>
      </c>
      <c r="C106" s="10" t="s">
        <v>556</v>
      </c>
      <c r="D106" s="7" t="str">
        <f>IF(C25="Included","Yes","NA")</f>
        <v>Yes</v>
      </c>
      <c r="E106" s="7" t="s">
        <v>451</v>
      </c>
      <c r="G106" s="7" t="s">
        <v>10</v>
      </c>
    </row>
    <row r="107" spans="1:7" s="127" customFormat="1" ht="18" thickTop="1" thickBot="1">
      <c r="A107" s="127" t="s">
        <v>585</v>
      </c>
      <c r="B107" s="117" t="s">
        <v>586</v>
      </c>
      <c r="C107" s="128" t="e">
        <f>C102+C103+C104+C105+C106+C101+C95</f>
        <v>#VALUE!</v>
      </c>
      <c r="D107" s="127" t="str">
        <f>IF(C25="Included","Yes","NA")</f>
        <v>Yes</v>
      </c>
      <c r="E107" s="127" t="s">
        <v>411</v>
      </c>
      <c r="G107" s="127" t="s">
        <v>10</v>
      </c>
    </row>
    <row r="108" spans="1:7" s="122" customFormat="1" ht="41.1" thickTop="1">
      <c r="A108" s="122" t="s">
        <v>587</v>
      </c>
      <c r="B108" s="116" t="s">
        <v>588</v>
      </c>
      <c r="D108" s="122" t="str">
        <f>IF(C27="Included","Yes","NA")</f>
        <v>NA</v>
      </c>
    </row>
    <row r="109" spans="1:7" ht="32.1">
      <c r="B109" s="8" t="s">
        <v>589</v>
      </c>
      <c r="C109" s="130"/>
      <c r="D109" s="7" t="str">
        <f>IF(C27="Included","Yes","NA")</f>
        <v>NA</v>
      </c>
      <c r="E109" s="7" t="s">
        <v>176</v>
      </c>
      <c r="G109" s="7" t="s">
        <v>391</v>
      </c>
    </row>
    <row r="110" spans="1:7" ht="33" thickBot="1">
      <c r="B110" s="8" t="s">
        <v>590</v>
      </c>
      <c r="C110" s="130"/>
      <c r="D110" s="7" t="str">
        <f>IF(C27="Included","Yes","NA")</f>
        <v>NA</v>
      </c>
      <c r="E110" s="7" t="s">
        <v>176</v>
      </c>
      <c r="G110" s="7" t="s">
        <v>391</v>
      </c>
    </row>
    <row r="111" spans="1:7" s="119" customFormat="1" ht="18" thickTop="1" thickBot="1">
      <c r="A111" s="119" t="s">
        <v>587</v>
      </c>
      <c r="B111" s="131" t="s">
        <v>588</v>
      </c>
      <c r="C111" s="118">
        <f>IF(OR(C28="Yes",C29="Yes"),0,IF(AND(C3="Small or Micro",C109&lt;0.1,C110&lt;0.1),0,IF(C3="Large","No shift of pre-project activities is allowed",IF(OR(C109&gt;0.5,C110&gt;0.5),"Tool NA",IF(OR(C109&gt;0.1,C110&gt;0.1),"=(BE-PE)*.15")))))</f>
        <v>0</v>
      </c>
      <c r="D111" s="119" t="str">
        <f>IF(C27="Included","Yes","NA")</f>
        <v>NA</v>
      </c>
      <c r="E111" s="119" t="s">
        <v>411</v>
      </c>
      <c r="F111" s="119" t="s">
        <v>591</v>
      </c>
      <c r="G111" s="119" t="s">
        <v>391</v>
      </c>
    </row>
    <row r="112" spans="1:7" s="122" customFormat="1" ht="21" thickTop="1">
      <c r="A112" s="122" t="s">
        <v>592</v>
      </c>
      <c r="B112" s="116" t="s">
        <v>593</v>
      </c>
      <c r="D112" s="122" t="str">
        <f>IF(C30="Included","Yes","NA")</f>
        <v>NA</v>
      </c>
    </row>
    <row r="113" spans="1:7" ht="15.95">
      <c r="A113" s="7" t="s">
        <v>594</v>
      </c>
      <c r="B113" s="8" t="s">
        <v>595</v>
      </c>
      <c r="D113" s="7" t="str">
        <f>IF(C30="Included","Yes","NA")</f>
        <v>NA</v>
      </c>
      <c r="E113" s="7" t="s">
        <v>176</v>
      </c>
      <c r="G113" s="7" t="s">
        <v>391</v>
      </c>
    </row>
    <row r="114" spans="1:7" ht="32.1">
      <c r="A114" s="7" t="s">
        <v>596</v>
      </c>
      <c r="B114" s="8" t="s">
        <v>597</v>
      </c>
      <c r="D114" s="7" t="str">
        <f>IF(C30="Included","Yes","NA")</f>
        <v>NA</v>
      </c>
      <c r="E114" s="7" t="s">
        <v>176</v>
      </c>
      <c r="F114" s="7" t="s">
        <v>598</v>
      </c>
      <c r="G114" s="7" t="s">
        <v>391</v>
      </c>
    </row>
    <row r="115" spans="1:7" ht="17.100000000000001" thickBot="1">
      <c r="A115" s="7" t="s">
        <v>599</v>
      </c>
      <c r="B115" s="8" t="s">
        <v>600</v>
      </c>
      <c r="D115" s="7" t="str">
        <f>IF(C30="Included","Yes","NA")</f>
        <v>NA</v>
      </c>
      <c r="E115" s="7" t="s">
        <v>176</v>
      </c>
      <c r="G115" s="7" t="s">
        <v>10</v>
      </c>
    </row>
    <row r="116" spans="1:7" s="121" customFormat="1" ht="17.100000000000001" thickTop="1">
      <c r="A116" s="121" t="s">
        <v>592</v>
      </c>
      <c r="B116" s="120" t="s">
        <v>593</v>
      </c>
      <c r="C116" s="132">
        <f>IF(C31="B4: The biomass residues are used for energy or non-energy applications, or the primary source of the biomass residues and/or their fate cannot be clearly identified.",(C113*C114*C115)+SUM(C117),"See Notes")</f>
        <v>0</v>
      </c>
      <c r="D116" s="121" t="str">
        <f>IF(C30="Included","Yes","NA")</f>
        <v>NA</v>
      </c>
      <c r="E116" s="121" t="s">
        <v>411</v>
      </c>
      <c r="F116" s="121" t="s">
        <v>601</v>
      </c>
      <c r="G116" s="121" t="s">
        <v>391</v>
      </c>
    </row>
    <row r="117" spans="1:7" s="133" customFormat="1" ht="17.100000000000001" thickBot="1">
      <c r="B117" s="134" t="s">
        <v>602</v>
      </c>
      <c r="D117" s="133" t="str">
        <f>IF(C30="Included","Yes","NA")</f>
        <v>NA</v>
      </c>
      <c r="F117" s="133" t="s">
        <v>603</v>
      </c>
      <c r="G117" s="133" t="s">
        <v>9</v>
      </c>
    </row>
    <row r="118" spans="1:7" s="122" customFormat="1" ht="42" thickTop="1" thickBot="1">
      <c r="A118" s="122" t="s">
        <v>604</v>
      </c>
      <c r="B118" s="116" t="s">
        <v>605</v>
      </c>
      <c r="D118" s="122" t="str">
        <f>IF(C32="Included","Yes","NA")</f>
        <v>NA</v>
      </c>
    </row>
    <row r="119" spans="1:7" s="127" customFormat="1" ht="18" thickTop="1" thickBot="1">
      <c r="A119" s="127" t="s">
        <v>604</v>
      </c>
      <c r="B119" s="117" t="s">
        <v>605</v>
      </c>
      <c r="C119" s="128" t="s">
        <v>606</v>
      </c>
      <c r="D119" s="127" t="str">
        <f>IF(C32="Included","Yes","NA")</f>
        <v>NA</v>
      </c>
      <c r="E119" s="127" t="s">
        <v>451</v>
      </c>
      <c r="F119" s="127" t="s">
        <v>516</v>
      </c>
      <c r="G119" s="127" t="s">
        <v>10</v>
      </c>
    </row>
    <row r="120" spans="1:7" s="122" customFormat="1" ht="21" thickTop="1">
      <c r="A120" s="122" t="s">
        <v>607</v>
      </c>
      <c r="B120" s="116" t="s">
        <v>608</v>
      </c>
      <c r="D120" s="122" t="str">
        <f>IF(C33="Included","Yes","NA")</f>
        <v>NA</v>
      </c>
    </row>
    <row r="121" spans="1:7">
      <c r="A121" s="7" t="s">
        <v>609</v>
      </c>
      <c r="B121" s="7" t="s">
        <v>610</v>
      </c>
      <c r="C121" s="10">
        <f>'[3]Tool 12 - Freight Trans'!C21</f>
        <v>2.58E-2</v>
      </c>
      <c r="D121" s="7" t="str">
        <f>IF(C33="Included","Yes","NA")</f>
        <v>NA</v>
      </c>
      <c r="E121" s="7" t="s">
        <v>451</v>
      </c>
      <c r="F121" s="7" t="s">
        <v>522</v>
      </c>
      <c r="G121" s="7" t="s">
        <v>10</v>
      </c>
    </row>
    <row r="122" spans="1:7">
      <c r="A122" s="7" t="s">
        <v>611</v>
      </c>
      <c r="B122" s="7" t="s">
        <v>612</v>
      </c>
      <c r="C122" s="10">
        <f>'[3]Tool 05.1'!G16</f>
        <v>0.39375000000000004</v>
      </c>
      <c r="D122" s="7" t="str">
        <f>IF(C33="Included","Yes","NA")</f>
        <v>NA</v>
      </c>
      <c r="E122" s="7" t="s">
        <v>451</v>
      </c>
      <c r="G122" s="7" t="s">
        <v>10</v>
      </c>
    </row>
    <row r="123" spans="1:7">
      <c r="A123" s="7" t="s">
        <v>613</v>
      </c>
      <c r="B123" s="7" t="s">
        <v>614</v>
      </c>
      <c r="C123" s="10">
        <f>'[3]Tool 03'!G3</f>
        <v>73.333333333333329</v>
      </c>
      <c r="D123" s="7" t="str">
        <f>IF(C33="Included","Yes","NA")</f>
        <v>NA</v>
      </c>
      <c r="E123" s="7" t="s">
        <v>451</v>
      </c>
      <c r="G123" s="7" t="s">
        <v>10</v>
      </c>
    </row>
    <row r="124" spans="1:7" ht="15.95" thickBot="1">
      <c r="A124" s="7" t="s">
        <v>615</v>
      </c>
      <c r="B124" s="7" t="s">
        <v>616</v>
      </c>
      <c r="C124" s="129">
        <f>C121+C122+C123</f>
        <v>73.75288333333333</v>
      </c>
      <c r="D124" s="7" t="str">
        <f>IF(C33="Included","Yes","NA")</f>
        <v>NA</v>
      </c>
      <c r="F124" s="7" t="s">
        <v>617</v>
      </c>
      <c r="G124" s="7" t="s">
        <v>10</v>
      </c>
    </row>
    <row r="125" spans="1:7" ht="15.95" thickBot="1">
      <c r="A125" s="7" t="s">
        <v>531</v>
      </c>
      <c r="B125" s="7" t="s">
        <v>532</v>
      </c>
      <c r="C125" s="126">
        <v>28</v>
      </c>
      <c r="D125" s="7" t="str">
        <f>IF(C33="Included","Yes","NA")</f>
        <v>NA</v>
      </c>
      <c r="E125" s="7" t="s">
        <v>533</v>
      </c>
      <c r="G125" s="7" t="s">
        <v>10</v>
      </c>
    </row>
    <row r="126" spans="1:7">
      <c r="A126" s="7" t="s">
        <v>567</v>
      </c>
      <c r="B126" s="7" t="s">
        <v>568</v>
      </c>
      <c r="D126" s="7" t="str">
        <f>IF(C33="Included","Yes","NA")</f>
        <v>NA</v>
      </c>
      <c r="E126" s="7" t="s">
        <v>176</v>
      </c>
      <c r="G126" s="7" t="s">
        <v>10</v>
      </c>
    </row>
    <row r="127" spans="1:7">
      <c r="A127" s="7" t="s">
        <v>569</v>
      </c>
      <c r="B127" s="7" t="s">
        <v>570</v>
      </c>
      <c r="D127" s="7" t="str">
        <f>IF(C33="Included","Yes","NA")</f>
        <v>NA</v>
      </c>
      <c r="E127" s="7" t="s">
        <v>176</v>
      </c>
      <c r="G127" s="7" t="s">
        <v>10</v>
      </c>
    </row>
    <row r="128" spans="1:7">
      <c r="A128" s="7" t="s">
        <v>538</v>
      </c>
      <c r="B128" s="7" t="s">
        <v>539</v>
      </c>
      <c r="D128" s="7" t="str">
        <f>IF(C33="Included","Yes","NA")</f>
        <v>NA</v>
      </c>
      <c r="E128" s="7" t="s">
        <v>176</v>
      </c>
      <c r="G128" s="7" t="s">
        <v>10</v>
      </c>
    </row>
    <row r="129" spans="1:7">
      <c r="A129" s="7" t="s">
        <v>571</v>
      </c>
      <c r="B129" s="7" t="s">
        <v>572</v>
      </c>
      <c r="D129" s="7" t="str">
        <f>IF(C33="Included","Yes","NA")</f>
        <v>NA</v>
      </c>
      <c r="E129" s="7" t="s">
        <v>176</v>
      </c>
      <c r="G129" s="7" t="s">
        <v>10</v>
      </c>
    </row>
    <row r="130" spans="1:7">
      <c r="A130" s="7" t="s">
        <v>618</v>
      </c>
      <c r="B130" s="7" t="s">
        <v>619</v>
      </c>
      <c r="C130" s="10">
        <f>C125*C126*C127*C128*C129</f>
        <v>0</v>
      </c>
      <c r="D130" s="7" t="str">
        <f>IF(C33="Included","Yes","NA")</f>
        <v>NA</v>
      </c>
      <c r="E130" s="7" t="s">
        <v>411</v>
      </c>
      <c r="G130" s="7" t="s">
        <v>10</v>
      </c>
    </row>
    <row r="131" spans="1:7">
      <c r="A131" s="7" t="s">
        <v>620</v>
      </c>
      <c r="B131" s="7" t="s">
        <v>621</v>
      </c>
      <c r="C131" s="10">
        <f>'[3]Tool 05.1'!G16</f>
        <v>0.39375000000000004</v>
      </c>
      <c r="D131" s="7" t="str">
        <f>IF(C33="Included","Yes","NA")</f>
        <v>NA</v>
      </c>
      <c r="E131" s="7" t="s">
        <v>451</v>
      </c>
      <c r="G131" s="7" t="s">
        <v>10</v>
      </c>
    </row>
    <row r="132" spans="1:7">
      <c r="A132" s="7" t="s">
        <v>622</v>
      </c>
      <c r="B132" s="7" t="s">
        <v>623</v>
      </c>
      <c r="C132" s="10">
        <f>'[3]Tool 03'!G3</f>
        <v>73.333333333333329</v>
      </c>
      <c r="D132" s="7" t="str">
        <f>IF(C33="Included","Yes","NA")</f>
        <v>NA</v>
      </c>
      <c r="E132" s="7" t="s">
        <v>451</v>
      </c>
      <c r="G132" s="7" t="s">
        <v>10</v>
      </c>
    </row>
    <row r="133" spans="1:7">
      <c r="A133" s="7" t="s">
        <v>624</v>
      </c>
      <c r="B133" s="7" t="s">
        <v>625</v>
      </c>
      <c r="C133" s="10">
        <f>'[3]Tool 04 - SWDS-Yearly'!C86</f>
        <v>10.136870643302116</v>
      </c>
      <c r="D133" s="7" t="str">
        <f>IF(C33="Included","Yes","NA")</f>
        <v>NA</v>
      </c>
      <c r="E133" s="7" t="s">
        <v>451</v>
      </c>
      <c r="G133" s="7" t="s">
        <v>10</v>
      </c>
    </row>
    <row r="134" spans="1:7">
      <c r="A134" s="7" t="s">
        <v>626</v>
      </c>
      <c r="B134" s="7" t="s">
        <v>627</v>
      </c>
      <c r="C134" s="10">
        <f>'[3]Tool 13'!G65</f>
        <v>10.136870643302116</v>
      </c>
      <c r="D134" s="7" t="str">
        <f>IF(C33="Included","Yes","NA")</f>
        <v>NA</v>
      </c>
      <c r="E134" s="7" t="s">
        <v>451</v>
      </c>
      <c r="G134" s="7" t="s">
        <v>10</v>
      </c>
    </row>
    <row r="135" spans="1:7" ht="15.95" thickBot="1">
      <c r="A135" s="7" t="s">
        <v>628</v>
      </c>
      <c r="B135" s="7" t="s">
        <v>629</v>
      </c>
      <c r="C135" s="10">
        <v>10</v>
      </c>
      <c r="D135" s="7" t="str">
        <f>IF(C33="Included","Yes","NA")</f>
        <v>NA</v>
      </c>
      <c r="E135" s="7" t="s">
        <v>451</v>
      </c>
      <c r="G135" s="7" t="s">
        <v>10</v>
      </c>
    </row>
    <row r="136" spans="1:7" s="127" customFormat="1" ht="17.100000000000001" thickTop="1" thickBot="1">
      <c r="A136" s="127" t="s">
        <v>607</v>
      </c>
      <c r="B136" s="127" t="s">
        <v>630</v>
      </c>
      <c r="C136" s="128">
        <f>C131+C132+C133+C134+C135+C130+C124</f>
        <v>177.75370795327089</v>
      </c>
      <c r="D136" s="127" t="str">
        <f>IF(C33="Included","Yes","NA")</f>
        <v>NA</v>
      </c>
      <c r="E136" s="127" t="s">
        <v>411</v>
      </c>
      <c r="G136" s="127" t="s">
        <v>391</v>
      </c>
    </row>
    <row r="137" spans="1:7" s="1" customFormat="1" ht="38.1" customHeight="1" thickTop="1">
      <c r="B137" s="135" t="s">
        <v>631</v>
      </c>
      <c r="F137" s="1" t="s">
        <v>632</v>
      </c>
    </row>
  </sheetData>
  <dataConsolidate/>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Dalís Rae De La Mora</dc:creator>
  <cp:keywords/>
  <dc:description/>
  <cp:lastModifiedBy/>
  <cp:revision/>
  <dcterms:created xsi:type="dcterms:W3CDTF">2023-09-26T23:25:59Z</dcterms:created>
  <dcterms:modified xsi:type="dcterms:W3CDTF">2023-11-19T22:09:06Z</dcterms:modified>
  <cp:category/>
  <cp:contentStatus/>
</cp:coreProperties>
</file>