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drawings/drawing3.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drawings/drawing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drawings/drawing5.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drawings/drawing6.xml" ContentType="application/vnd.openxmlformats-officedocument.drawing+xml"/>
  <Override PartName="/xl/comments20.xml" ContentType="application/vnd.openxmlformats-officedocument.spreadsheetml.comments+xml"/>
  <Override PartName="/xl/threadedComments/threadedComment20.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1"/>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C/"/>
    </mc:Choice>
  </mc:AlternateContent>
  <xr:revisionPtr revIDLastSave="0" documentId="8_{9E4B8F70-121C-4A76-A129-22FBE6243A41}" xr6:coauthVersionLast="47" xr6:coauthVersionMax="47" xr10:uidLastSave="{00000000-0000-0000-0000-000000000000}"/>
  <bookViews>
    <workbookView xWindow="28680" yWindow="-120" windowWidth="29040" windowHeight="15840" xr2:uid="{79724E58-234A-413E-9351-3ED09633A1D1}"/>
  </bookViews>
  <sheets>
    <sheet name="AMS I.C. Mainframe Schema" sheetId="1" r:id="rId1"/>
    <sheet name="Help Text Notes" sheetId="10" r:id="rId2"/>
    <sheet name="AMS IC MF Defaults" sheetId="11" r:id="rId3"/>
    <sheet name="AMS I.C. MF Dropdown Items" sheetId="2" r:id="rId4"/>
    <sheet name="Tool 01" sheetId="24" r:id="rId5"/>
    <sheet name="(Revised) Tool 03" sheetId="12" r:id="rId6"/>
    <sheet name="Tool 04-SWDS-Yearly" sheetId="28" r:id="rId7"/>
    <sheet name="Tool 04 SWDS Summary Tab " sheetId="29" r:id="rId8"/>
    <sheet name="Tool 4 Dropdown Items" sheetId="30" r:id="rId9"/>
    <sheet name="Tool 05.1" sheetId="13" r:id="rId10"/>
    <sheet name="Tool 05.2 Power Plants" sheetId="14" r:id="rId11"/>
    <sheet name="Tool 05.3 Default Values" sheetId="15" r:id="rId12"/>
    <sheet name="Tool 06" sheetId="36" r:id="rId13"/>
    <sheet name="Tool 07" sheetId="48" r:id="rId14"/>
    <sheet name="Tool 07 Simple OM" sheetId="49" r:id="rId15"/>
    <sheet name="Tool 07 Simple Adj OM" sheetId="50" r:id="rId16"/>
    <sheet name="Tool 07 Default Lambda" sheetId="51" r:id="rId17"/>
    <sheet name="Tool 07 Dispatch Data OM" sheetId="52" r:id="rId18"/>
    <sheet name="Tool 07 Average OM" sheetId="53" r:id="rId19"/>
    <sheet name="Tool 07 Build Margin" sheetId="54" r:id="rId20"/>
    <sheet name="Tool 07 Combined Margin" sheetId="55" r:id="rId21"/>
    <sheet name="Tool 09" sheetId="9" r:id="rId22"/>
    <sheet name="Tool 12 - Freight Trans" sheetId="25" r:id="rId23"/>
    <sheet name="Tool 12 Emissions Summary Tab" sheetId="26" r:id="rId24"/>
    <sheet name="Tool 12 Dropdown Items" sheetId="27" r:id="rId25"/>
    <sheet name="Tool 13" sheetId="31" r:id="rId26"/>
    <sheet name="Tool 13.1 MCF Defaults" sheetId="34" r:id="rId27"/>
    <sheet name="Tool 14" sheetId="35" r:id="rId28"/>
    <sheet name="Tool 16.1" sheetId="20" r:id="rId29"/>
    <sheet name="Tool 16.2 Summary Tab " sheetId="21" r:id="rId30"/>
    <sheet name="Tool 16.3 Dropdown Items" sheetId="22" r:id="rId31"/>
    <sheet name="Tool 16.4 Default Values" sheetId="23" r:id="rId32"/>
    <sheet name="Tool 19" sheetId="37" r:id="rId33"/>
    <sheet name="Tool 19 Dropdown Items" sheetId="38" r:id="rId34"/>
    <sheet name="Tool 19 Logic Maps " sheetId="39" r:id="rId35"/>
    <sheet name="Tool 21" sheetId="40" r:id="rId36"/>
    <sheet name="Tool 22" sheetId="41" r:id="rId37"/>
    <sheet name="Tool 22 Dropdown Items" sheetId="42" r:id="rId38"/>
    <sheet name="Tool 22 Reference Tables" sheetId="43" r:id="rId39"/>
    <sheet name="IWA Properties" sheetId="47" r:id="rId40"/>
  </sheets>
  <definedNames>
    <definedName name="ELECT_UNITS">#REF!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31" l="1"/>
  <c r="G27" i="31" s="1"/>
  <c r="G28" i="55"/>
  <c r="G27" i="55"/>
  <c r="G26" i="55"/>
  <c r="G25" i="55"/>
  <c r="G24" i="55"/>
  <c r="G8" i="55" s="1"/>
  <c r="G18" i="55"/>
  <c r="G17" i="55"/>
  <c r="G16" i="55"/>
  <c r="G13" i="55"/>
  <c r="G12" i="55"/>
  <c r="G3" i="54"/>
  <c r="G30" i="53"/>
  <c r="G27" i="53"/>
  <c r="G22" i="53"/>
  <c r="G11" i="53"/>
  <c r="G6" i="53"/>
  <c r="G22" i="55" s="1"/>
  <c r="G15" i="55" s="1"/>
  <c r="G4" i="53"/>
  <c r="G11" i="55" s="1"/>
  <c r="G10" i="55" s="1"/>
  <c r="G67" i="50"/>
  <c r="G62" i="50"/>
  <c r="G51" i="50"/>
  <c r="G44" i="50"/>
  <c r="G39" i="50"/>
  <c r="G28" i="50"/>
  <c r="G4" i="50" s="1"/>
  <c r="G7" i="50"/>
  <c r="G6" i="50"/>
  <c r="G30" i="49"/>
  <c r="G27" i="49"/>
  <c r="G22" i="49"/>
  <c r="G11" i="49"/>
  <c r="G6" i="49" s="1"/>
  <c r="G4" i="49" s="1"/>
  <c r="D185" i="1"/>
  <c r="B10" i="41"/>
  <c r="B11" i="41"/>
  <c r="B5" i="41"/>
  <c r="D171" i="1"/>
  <c r="D170" i="1"/>
  <c r="D168" i="1"/>
  <c r="F164" i="1" l="1"/>
  <c r="D159" i="1"/>
  <c r="D160" i="1" s="1"/>
  <c r="D153" i="1"/>
  <c r="E149" i="1"/>
  <c r="D132" i="1"/>
  <c r="D124" i="1"/>
  <c r="D127" i="1" s="1"/>
  <c r="E121" i="1"/>
  <c r="D119" i="1"/>
  <c r="D118" i="1"/>
  <c r="E114" i="1"/>
  <c r="E113" i="1"/>
  <c r="E110" i="1"/>
  <c r="F98" i="1"/>
  <c r="D95" i="1"/>
  <c r="D96" i="1" s="1"/>
  <c r="F95" i="1"/>
  <c r="D98" i="1"/>
  <c r="F107" i="1"/>
  <c r="F104" i="1"/>
  <c r="F99" i="1"/>
  <c r="D92" i="1"/>
  <c r="E84" i="1"/>
  <c r="D72" i="1"/>
  <c r="F71" i="1"/>
  <c r="D67" i="1"/>
  <c r="H98" i="1" s="1"/>
  <c r="C26" i="9"/>
  <c r="D103" i="1" s="1"/>
  <c r="D106" i="1" s="1"/>
  <c r="F67" i="1"/>
  <c r="F76" i="1"/>
  <c r="E68" i="1"/>
  <c r="E67" i="1"/>
  <c r="E66" i="1"/>
  <c r="E65" i="1"/>
  <c r="E64" i="1"/>
  <c r="E60" i="1"/>
  <c r="E58" i="1"/>
  <c r="F58" i="1"/>
  <c r="B55" i="1"/>
  <c r="B54" i="1"/>
  <c r="B53" i="1"/>
  <c r="B52" i="1"/>
  <c r="B51" i="1"/>
  <c r="B50" i="1"/>
  <c r="B49" i="1"/>
  <c r="D47" i="1"/>
  <c r="D46" i="1"/>
  <c r="C66" i="20"/>
  <c r="C54" i="20"/>
  <c r="C56" i="20" s="1"/>
  <c r="C111" i="20"/>
  <c r="C48" i="28"/>
  <c r="C44" i="28"/>
  <c r="C45" i="28" s="1"/>
  <c r="C54" i="28"/>
  <c r="C75" i="28" s="1"/>
  <c r="C28" i="28"/>
  <c r="E31" i="1"/>
  <c r="D68" i="1" l="1"/>
  <c r="D109" i="1"/>
  <c r="H103" i="1"/>
  <c r="D87" i="1"/>
  <c r="D82" i="1"/>
  <c r="D83" i="1" s="1"/>
  <c r="D133" i="1"/>
  <c r="D135" i="1" s="1"/>
  <c r="D76" i="1"/>
  <c r="D77" i="1" s="1"/>
  <c r="F176" i="1"/>
  <c r="F166" i="1"/>
  <c r="F145" i="1"/>
  <c r="F143" i="1"/>
  <c r="F131" i="1"/>
  <c r="F125" i="1"/>
  <c r="F123" i="1"/>
  <c r="F91" i="1"/>
  <c r="F87" i="1"/>
  <c r="F86" i="1"/>
  <c r="F81" i="1"/>
  <c r="F66" i="1"/>
  <c r="F36" i="1"/>
  <c r="F34" i="1"/>
  <c r="E179" i="1"/>
  <c r="E173" i="1"/>
  <c r="E172" i="1"/>
  <c r="E171" i="1"/>
  <c r="E162" i="1"/>
  <c r="E170" i="1"/>
  <c r="E169" i="1"/>
  <c r="E168" i="1"/>
  <c r="E165" i="1"/>
  <c r="E164" i="1"/>
  <c r="E163" i="1"/>
  <c r="E89" i="1"/>
  <c r="E159" i="1"/>
  <c r="E158" i="1"/>
  <c r="E155" i="1"/>
  <c r="E154" i="1"/>
  <c r="E150" i="1"/>
  <c r="E148" i="1"/>
  <c r="E147" i="1"/>
  <c r="E146" i="1"/>
  <c r="E135" i="1"/>
  <c r="E134" i="1"/>
  <c r="E133" i="1"/>
  <c r="E132" i="1"/>
  <c r="E131" i="1"/>
  <c r="E130" i="1"/>
  <c r="E129" i="1"/>
  <c r="E128" i="1"/>
  <c r="E122" i="1"/>
  <c r="E120" i="1"/>
  <c r="E112" i="1"/>
  <c r="E115" i="1"/>
  <c r="E111" i="1"/>
  <c r="E183" i="1"/>
  <c r="E182" i="1"/>
  <c r="B16" i="41"/>
  <c r="E180" i="1"/>
  <c r="B12" i="41"/>
  <c r="C23" i="41" s="1"/>
  <c r="B19" i="41"/>
  <c r="H87" i="1" l="1"/>
  <c r="D88" i="1"/>
  <c r="H76" i="1"/>
  <c r="H82" i="1"/>
  <c r="H95" i="1"/>
  <c r="H67" i="1"/>
  <c r="H133" i="1"/>
  <c r="C17" i="41"/>
  <c r="B23" i="41"/>
  <c r="C13" i="41"/>
  <c r="C15" i="41"/>
  <c r="C19" i="41"/>
  <c r="C20" i="41"/>
  <c r="C21" i="41"/>
  <c r="B18" i="41"/>
  <c r="C22" i="41"/>
  <c r="C16" i="41"/>
  <c r="C14" i="41"/>
  <c r="C18" i="41"/>
  <c r="E181" i="1" l="1"/>
  <c r="B26" i="37"/>
  <c r="C22" i="37"/>
  <c r="B22" i="37"/>
  <c r="C21" i="37"/>
  <c r="C20" i="37"/>
  <c r="C19" i="37"/>
  <c r="C18" i="37"/>
  <c r="B18" i="37"/>
  <c r="C17" i="37"/>
  <c r="C16" i="37"/>
  <c r="C15" i="37"/>
  <c r="C14" i="37"/>
  <c r="B14" i="37"/>
  <c r="C13" i="37"/>
  <c r="C12" i="37"/>
  <c r="C11" i="37"/>
  <c r="C10" i="37"/>
  <c r="C9" i="37"/>
  <c r="B8" i="37"/>
  <c r="B29" i="37" s="1"/>
  <c r="C5" i="37"/>
  <c r="C4" i="37"/>
  <c r="F63" i="35" l="1"/>
  <c r="F67" i="36"/>
  <c r="F64" i="36"/>
  <c r="F50" i="36"/>
  <c r="F48" i="36"/>
  <c r="F65" i="36" s="1"/>
  <c r="F47" i="36"/>
  <c r="F45" i="36"/>
  <c r="F44" i="36" s="1"/>
  <c r="F66" i="36" l="1"/>
  <c r="F62" i="36" s="1"/>
  <c r="F60" i="36"/>
  <c r="F61" i="36" l="1"/>
  <c r="F58" i="36" s="1"/>
  <c r="F59" i="36" l="1"/>
  <c r="F57" i="36" s="1"/>
  <c r="F56" i="36" s="1"/>
  <c r="F54" i="36" s="1"/>
  <c r="F52" i="36" s="1"/>
  <c r="F69" i="36" s="1"/>
  <c r="F55" i="35"/>
  <c r="F47" i="35"/>
  <c r="F66" i="35" l="1"/>
  <c r="F87" i="35"/>
  <c r="F85" i="35"/>
  <c r="F83" i="35"/>
  <c r="F79" i="35"/>
  <c r="F77" i="35"/>
  <c r="F75" i="35"/>
  <c r="F74" i="35"/>
  <c r="F72" i="35"/>
  <c r="F69" i="35"/>
  <c r="F17" i="35"/>
  <c r="F60" i="35"/>
  <c r="F57" i="35"/>
  <c r="F15" i="35"/>
  <c r="F52" i="35"/>
  <c r="F49" i="35" s="1"/>
  <c r="F14" i="35" s="1"/>
  <c r="F42" i="35"/>
  <c r="F35" i="35"/>
  <c r="F37" i="35" s="1"/>
  <c r="F29" i="35" s="1"/>
  <c r="F28" i="35" s="1"/>
  <c r="F34" i="35"/>
  <c r="F31" i="35" s="1"/>
  <c r="F33" i="35"/>
  <c r="F32" i="35"/>
  <c r="F26" i="35"/>
  <c r="F24" i="35" s="1"/>
  <c r="F19" i="35" s="1"/>
  <c r="F23" i="35"/>
  <c r="F16" i="35"/>
  <c r="F13" i="35"/>
  <c r="C90" i="20" l="1"/>
  <c r="C106" i="20"/>
  <c r="E119" i="1"/>
  <c r="E118" i="1"/>
  <c r="E117" i="1"/>
  <c r="E116" i="1"/>
  <c r="E109" i="1"/>
  <c r="E107" i="1"/>
  <c r="E106" i="1"/>
  <c r="E104" i="1"/>
  <c r="E103" i="1"/>
  <c r="E102" i="1"/>
  <c r="E99" i="1"/>
  <c r="E98" i="1"/>
  <c r="E97" i="1"/>
  <c r="E96" i="1"/>
  <c r="E95" i="1"/>
  <c r="E94" i="1"/>
  <c r="E93" i="1"/>
  <c r="E92" i="1"/>
  <c r="E91" i="1"/>
  <c r="E90" i="1"/>
  <c r="E88" i="1"/>
  <c r="E87" i="1"/>
  <c r="E86" i="1"/>
  <c r="E85" i="1"/>
  <c r="E83" i="1"/>
  <c r="E82" i="1"/>
  <c r="E81" i="1"/>
  <c r="E80" i="1"/>
  <c r="E79" i="1"/>
  <c r="E78" i="1"/>
  <c r="F75" i="1"/>
  <c r="E77" i="1"/>
  <c r="E76" i="1"/>
  <c r="E75" i="1"/>
  <c r="E73" i="1"/>
  <c r="E74" i="1"/>
  <c r="E70" i="1"/>
  <c r="E72" i="1"/>
  <c r="E71" i="1"/>
  <c r="E69" i="1"/>
  <c r="E44" i="1"/>
  <c r="E43" i="1"/>
  <c r="E38" i="1"/>
  <c r="C17" i="25"/>
  <c r="G53" i="31"/>
  <c r="G53" i="34"/>
  <c r="G20" i="31" l="1"/>
  <c r="G16" i="31"/>
  <c r="C132" i="20"/>
  <c r="C131" i="20"/>
  <c r="C123" i="20"/>
  <c r="C122" i="20"/>
  <c r="C116" i="20"/>
  <c r="C94" i="20"/>
  <c r="C103" i="20"/>
  <c r="C102" i="20"/>
  <c r="C101" i="20"/>
  <c r="C93" i="20"/>
  <c r="C20" i="25"/>
  <c r="C21" i="25" s="1"/>
  <c r="C119" i="20" s="1"/>
  <c r="I3" i="26" l="1"/>
  <c r="I7" i="26" s="1"/>
  <c r="C73" i="20"/>
  <c r="C74" i="20"/>
  <c r="C76" i="20"/>
  <c r="C92" i="20"/>
  <c r="C95" i="20" s="1"/>
  <c r="C121" i="20"/>
  <c r="C124" i="20" s="1"/>
  <c r="G62" i="31" l="1"/>
  <c r="G55" i="31"/>
  <c r="G54" i="31"/>
  <c r="G51" i="31"/>
  <c r="G50" i="31"/>
  <c r="G49" i="31"/>
  <c r="G44" i="31"/>
  <c r="G43" i="31" s="1"/>
  <c r="G3" i="31" s="1"/>
  <c r="G24" i="31"/>
  <c r="G22" i="31" s="1"/>
  <c r="G9" i="31"/>
  <c r="C89" i="20" l="1"/>
  <c r="C91" i="20" s="1"/>
  <c r="F67" i="35"/>
  <c r="F65" i="35" s="1"/>
  <c r="C135" i="20" s="1"/>
  <c r="C105" i="20"/>
  <c r="D2" i="29"/>
  <c r="D8" i="29" s="1"/>
  <c r="C85" i="28"/>
  <c r="C84" i="28"/>
  <c r="C33" i="28" s="1"/>
  <c r="C83" i="28"/>
  <c r="D71" i="28"/>
  <c r="D69" i="28"/>
  <c r="C69" i="28"/>
  <c r="D66" i="28"/>
  <c r="C66" i="28"/>
  <c r="D65" i="28"/>
  <c r="D64" i="28"/>
  <c r="D62" i="28"/>
  <c r="C62" i="28"/>
  <c r="C82" i="28" s="1"/>
  <c r="D59" i="28"/>
  <c r="C59" i="28"/>
  <c r="D58" i="28"/>
  <c r="D57" i="28"/>
  <c r="D56" i="28"/>
  <c r="D54" i="28"/>
  <c r="D53" i="28"/>
  <c r="D52" i="28"/>
  <c r="D51" i="28"/>
  <c r="D50" i="28"/>
  <c r="D48" i="28"/>
  <c r="D45" i="28"/>
  <c r="D44" i="28"/>
  <c r="C76" i="28"/>
  <c r="D43" i="28"/>
  <c r="D42" i="28"/>
  <c r="D40" i="28"/>
  <c r="D38" i="28"/>
  <c r="D35" i="28"/>
  <c r="D34" i="28"/>
  <c r="D33" i="28"/>
  <c r="D32" i="28"/>
  <c r="C32" i="28"/>
  <c r="D31" i="28"/>
  <c r="C31" i="28"/>
  <c r="D30" i="28"/>
  <c r="C30" i="28"/>
  <c r="D29" i="28"/>
  <c r="C29" i="28"/>
  <c r="D28" i="28"/>
  <c r="D26" i="28"/>
  <c r="C26" i="28"/>
  <c r="D22" i="28"/>
  <c r="D21" i="28"/>
  <c r="D19" i="28"/>
  <c r="D18" i="28"/>
  <c r="D17" i="28"/>
  <c r="D16" i="28"/>
  <c r="D15" i="28"/>
  <c r="D14" i="28"/>
  <c r="D13" i="28"/>
  <c r="D12" i="28"/>
  <c r="D11" i="28"/>
  <c r="C34" i="28" l="1"/>
  <c r="C35" i="28" s="1"/>
  <c r="C77" i="28" s="1"/>
  <c r="C86" i="28" s="1"/>
  <c r="B2" i="29"/>
  <c r="B8" i="29" s="1"/>
  <c r="C87" i="20"/>
  <c r="C86" i="20"/>
  <c r="C85" i="20"/>
  <c r="C78" i="20"/>
  <c r="C77" i="20"/>
  <c r="I13" i="26"/>
  <c r="I17" i="26" s="1"/>
  <c r="H13" i="26"/>
  <c r="G13" i="26"/>
  <c r="F13" i="26"/>
  <c r="E13" i="26"/>
  <c r="D13" i="26"/>
  <c r="C13" i="26"/>
  <c r="B13" i="26"/>
  <c r="H3" i="26"/>
  <c r="G3" i="26"/>
  <c r="F3" i="26"/>
  <c r="E3" i="26"/>
  <c r="D3" i="26"/>
  <c r="C3" i="26"/>
  <c r="B3" i="26"/>
  <c r="A3" i="26"/>
  <c r="D21" i="25"/>
  <c r="D20" i="25"/>
  <c r="D19" i="25"/>
  <c r="D18" i="25"/>
  <c r="D17" i="25"/>
  <c r="D16" i="25"/>
  <c r="D15" i="25"/>
  <c r="D14" i="25"/>
  <c r="F89" i="35" l="1"/>
  <c r="G65" i="31"/>
  <c r="C134" i="20" s="1"/>
  <c r="C88" i="20"/>
  <c r="C133" i="20"/>
  <c r="C104" i="20"/>
  <c r="C107" i="20" s="1"/>
  <c r="D173" i="1" s="1"/>
  <c r="C2" i="29"/>
  <c r="C8" i="29" s="1"/>
  <c r="C42" i="20"/>
  <c r="C41" i="20"/>
  <c r="C17" i="20"/>
  <c r="D25" i="9"/>
  <c r="F103" i="1"/>
  <c r="F126" i="1"/>
  <c r="F94" i="1"/>
  <c r="D155" i="1"/>
  <c r="D156" i="1" s="1"/>
  <c r="D161" i="1" s="1"/>
  <c r="E160" i="1"/>
  <c r="G3" i="12"/>
  <c r="F113" i="1"/>
  <c r="F114" i="1"/>
  <c r="F111" i="1"/>
  <c r="E178" i="1"/>
  <c r="E177" i="1"/>
  <c r="B11" i="21"/>
  <c r="B4" i="21"/>
  <c r="B3" i="21"/>
  <c r="D136" i="20"/>
  <c r="D135" i="20"/>
  <c r="D134" i="20"/>
  <c r="D133" i="20"/>
  <c r="D132" i="20"/>
  <c r="D131" i="20"/>
  <c r="D130" i="20"/>
  <c r="C130" i="20"/>
  <c r="D129" i="20"/>
  <c r="D128" i="20"/>
  <c r="D127" i="20"/>
  <c r="D126" i="20"/>
  <c r="D125" i="20"/>
  <c r="D124" i="20"/>
  <c r="D123" i="20"/>
  <c r="D122" i="20"/>
  <c r="D121" i="20"/>
  <c r="D120" i="20"/>
  <c r="D119" i="20"/>
  <c r="D118" i="20"/>
  <c r="D117" i="20"/>
  <c r="D116" i="20"/>
  <c r="B10" i="21"/>
  <c r="D115" i="20"/>
  <c r="D114" i="20"/>
  <c r="D113" i="20"/>
  <c r="D112" i="20"/>
  <c r="D111" i="20"/>
  <c r="B9" i="21"/>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C79" i="20"/>
  <c r="D78" i="20"/>
  <c r="D77" i="20"/>
  <c r="D76" i="20"/>
  <c r="D75" i="20"/>
  <c r="D74" i="20"/>
  <c r="D73" i="20"/>
  <c r="D72" i="20"/>
  <c r="D71" i="20"/>
  <c r="D70" i="20"/>
  <c r="D69" i="20"/>
  <c r="D68" i="20"/>
  <c r="D66" i="20"/>
  <c r="C70" i="20"/>
  <c r="D65" i="20"/>
  <c r="D64" i="20"/>
  <c r="D63" i="20"/>
  <c r="D62" i="20"/>
  <c r="D61" i="20"/>
  <c r="D60" i="20"/>
  <c r="D59" i="20"/>
  <c r="D58" i="20"/>
  <c r="D57" i="20"/>
  <c r="D56" i="20"/>
  <c r="D55" i="20"/>
  <c r="D54" i="20"/>
  <c r="D53" i="20"/>
  <c r="D52" i="20"/>
  <c r="D51" i="20"/>
  <c r="D50" i="20"/>
  <c r="D48" i="20"/>
  <c r="D47" i="20"/>
  <c r="C47" i="20"/>
  <c r="C48" i="20" s="1"/>
  <c r="D46" i="20"/>
  <c r="D45" i="20"/>
  <c r="D44" i="20"/>
  <c r="D43" i="20"/>
  <c r="C43" i="20"/>
  <c r="D42" i="20"/>
  <c r="D41" i="20"/>
  <c r="D40" i="20"/>
  <c r="D38" i="20"/>
  <c r="C38" i="20"/>
  <c r="D37" i="20"/>
  <c r="D36" i="20"/>
  <c r="D35" i="20"/>
  <c r="D34" i="20"/>
  <c r="D33" i="20"/>
  <c r="D32" i="20"/>
  <c r="D31" i="20"/>
  <c r="D30" i="20"/>
  <c r="D29" i="20"/>
  <c r="D28" i="20"/>
  <c r="D27" i="20"/>
  <c r="D26" i="20"/>
  <c r="D25" i="20"/>
  <c r="D24" i="20"/>
  <c r="D23" i="20"/>
  <c r="D22" i="20"/>
  <c r="D21" i="20"/>
  <c r="D20" i="20"/>
  <c r="D19" i="20"/>
  <c r="D16" i="20"/>
  <c r="D15" i="20"/>
  <c r="D14" i="20"/>
  <c r="D13" i="20"/>
  <c r="D12" i="20"/>
  <c r="D11" i="20"/>
  <c r="D10" i="20"/>
  <c r="D9" i="20"/>
  <c r="D8" i="20"/>
  <c r="D7" i="20"/>
  <c r="D6" i="20"/>
  <c r="C71" i="20" l="1"/>
  <c r="B5" i="21"/>
  <c r="C136" i="20"/>
  <c r="D179" i="1" s="1"/>
  <c r="D187" i="1" s="1"/>
  <c r="B6" i="21"/>
  <c r="E166" i="1"/>
  <c r="E167" i="1"/>
  <c r="D143" i="1"/>
  <c r="E151" i="1"/>
  <c r="E152" i="1"/>
  <c r="E153" i="1"/>
  <c r="E156" i="1"/>
  <c r="D145" i="1"/>
  <c r="G37" i="13"/>
  <c r="G6" i="13"/>
  <c r="G10" i="14"/>
  <c r="G7" i="14" s="1"/>
  <c r="G11" i="14"/>
  <c r="G22" i="14"/>
  <c r="G19" i="14" s="1"/>
  <c r="G23" i="14"/>
  <c r="G34" i="14"/>
  <c r="G31" i="14" s="1"/>
  <c r="G35" i="14"/>
  <c r="G7" i="13"/>
  <c r="G12" i="13"/>
  <c r="G11" i="13" s="1"/>
  <c r="G17" i="13"/>
  <c r="G16" i="13" s="1"/>
  <c r="G22" i="13"/>
  <c r="G23" i="13"/>
  <c r="D186" i="1" l="1"/>
  <c r="D188" i="1" s="1"/>
  <c r="B2" i="21"/>
  <c r="B7" i="21" s="1"/>
  <c r="B12" i="21"/>
  <c r="B13" i="21" s="1"/>
  <c r="G3" i="14"/>
  <c r="G32" i="14"/>
  <c r="G8" i="14"/>
  <c r="G20" i="14"/>
  <c r="G37" i="12"/>
  <c r="G33" i="12"/>
  <c r="G32" i="12"/>
  <c r="G30" i="12"/>
  <c r="G28" i="12" s="1"/>
  <c r="G19" i="12"/>
  <c r="G15" i="12"/>
  <c r="G14" i="12"/>
  <c r="G12" i="12"/>
  <c r="G10" i="12"/>
  <c r="F133" i="1"/>
  <c r="E123" i="1"/>
  <c r="E127" i="1"/>
  <c r="E126" i="1"/>
  <c r="E125" i="1"/>
  <c r="G4" i="14" l="1"/>
  <c r="G38" i="13" s="1"/>
  <c r="F82" i="1"/>
  <c r="D14" i="9"/>
  <c r="D24" i="9"/>
  <c r="D23" i="9"/>
  <c r="D22" i="9"/>
  <c r="D21" i="9"/>
  <c r="D20" i="9"/>
  <c r="D19" i="9"/>
  <c r="D18" i="9"/>
  <c r="D17" i="9"/>
  <c r="D16" i="9"/>
  <c r="D15" i="9"/>
  <c r="D13" i="9"/>
  <c r="D12" i="9"/>
  <c r="D11" i="9"/>
  <c r="D10" i="9"/>
  <c r="D9" i="9"/>
  <c r="D8" i="9"/>
  <c r="D7" i="9"/>
  <c r="D5" i="9"/>
  <c r="D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tc={E9F574A9-2D6D-4994-9242-3093A5765C35}</author>
    <author>tc={8EF7B507-3A6B-4B4C-A1B2-48BDA6091CB3}</author>
    <author>tc={4A55794C-E86A-477F-97BE-1AF3800031AB}</author>
    <author>tc={CB866406-10DB-4499-A0F2-D4379F538C4A}</author>
    <author>tc={B863AA90-220F-4A9B-983C-B662D46DCF56}</author>
    <author>tc={4994BC64-B5E5-488C-8CBE-4D3279A86268}</author>
    <author>tc={42BC1F88-3754-46B8-AE5E-16FAA65A37A3}</author>
    <author>tc={A9987061-F169-47CB-8DB6-0F63FDA7C012}</author>
    <author>tc={7B85D47F-4BDB-4088-93E1-5A9870A4E1CC}</author>
    <author>tc={A9305493-4BF7-47D9-B359-5522D280C1AB}</author>
    <author>tc={4C2044EC-CABA-4FC4-AB32-B616067B697B}</author>
    <author>tc={B1430963-98FB-41EA-9F7F-43150F43C332}</author>
    <author>tc={F6DEB045-0A1C-4D34-8EB5-FAFC9BB2A52B}</author>
    <author>tc={DB9CB7FA-2186-4414-A203-A0CA7A46C778}</author>
    <author>tc={78CF84C8-9CD8-4279-85DF-3610A777C338}</author>
    <author>tc={15C99BC9-1B9B-4C55-A169-E701F88AA4DC}</author>
    <author>tc={92C6E4FA-8091-49CF-809E-6004E44DE6A9}</author>
    <author>tc={381C20A4-BC65-4787-80E6-0B1729D5A4DB}</author>
    <author>tc={ECB4DBBA-B647-4728-BFBB-08D55F7C4B36}</author>
    <author>tc={1FD797BB-FC39-4976-BBB3-7E435F564CB8}</author>
    <author>tc={795DAC96-16E0-4F8E-8999-F85346F5F34F}</author>
    <author>tc={A3B019C2-4792-433D-A11C-5494A8897F1D}</author>
    <author>tc={4403C6BD-A216-4617-ACAE-85F34684C9F4}</author>
    <author>tc={16EE3180-13B8-435D-AB4B-B41BF8A82A34}</author>
    <author>tc={8D84DCE0-338F-4530-A106-7ED33C8619C8}</author>
  </authors>
  <commentList>
    <comment ref="C68" authorId="0" shapeId="0" xr:uid="{E9F574A9-2D6D-4994-9242-3093A5765C35}">
      <text>
        <t>[Threaded comment]
Your version of Excel allows you to read this threaded comment; however, any edits to it will get removed if the file is opened in a newer version of Excel. Learn more: https://go.microsoft.com/fwlink/?linkid=870924
Comment:
    Equation 1</t>
      </text>
    </comment>
    <comment ref="C72" authorId="1" shapeId="0" xr:uid="{8EF7B507-3A6B-4B4C-A1B2-48BDA6091CB3}">
      <text>
        <t>[Threaded comment]
Your version of Excel allows you to read this threaded comment; however, any edits to it will get removed if the file is opened in a newer version of Excel. Learn more: https://go.microsoft.com/fwlink/?linkid=870924
Comment:
    Equation 2</t>
      </text>
    </comment>
    <comment ref="C77" authorId="2" shapeId="0" xr:uid="{4A55794C-E86A-477F-97BE-1AF3800031AB}">
      <text>
        <t>[Threaded comment]
Your version of Excel allows you to read this threaded comment; however, any edits to it will get removed if the file is opened in a newer version of Excel. Learn more: https://go.microsoft.com/fwlink/?linkid=870924
Comment:
    Equation 3</t>
      </text>
    </comment>
    <comment ref="C83" authorId="3" shapeId="0" xr:uid="{CB866406-10DB-4499-A0F2-D4379F538C4A}">
      <text>
        <t>[Threaded comment]
Your version of Excel allows you to read this threaded comment; however, any edits to it will get removed if the file is opened in a newer version of Excel. Learn more: https://go.microsoft.com/fwlink/?linkid=870924
Comment:
    Equation 4</t>
      </text>
    </comment>
    <comment ref="C88" authorId="4" shapeId="0" xr:uid="{B863AA90-220F-4A9B-983C-B662D46DCF56}">
      <text>
        <t>[Threaded comment]
Your version of Excel allows you to read this threaded comment; however, any edits to it will get removed if the file is opened in a newer version of Excel. Learn more: https://go.microsoft.com/fwlink/?linkid=870924
Comment:
    Equation 5</t>
      </text>
    </comment>
    <comment ref="C92" authorId="5" shapeId="0" xr:uid="{4994BC64-B5E5-488C-8CBE-4D3279A86268}">
      <text>
        <t>[Threaded comment]
Your version of Excel allows you to read this threaded comment; however, any edits to it will get removed if the file is opened in a newer version of Excel. Learn more: https://go.microsoft.com/fwlink/?linkid=870924
Comment:
    Equation 2</t>
      </text>
    </comment>
    <comment ref="C96" authorId="6" shapeId="0" xr:uid="{42BC1F88-3754-46B8-AE5E-16FAA65A37A3}">
      <text>
        <t>[Threaded comment]
Your version of Excel allows you to read this threaded comment; however, any edits to it will get removed if the file is opened in a newer version of Excel. Learn more: https://go.microsoft.com/fwlink/?linkid=870924
Comment:
    Equation 1</t>
      </text>
    </comment>
    <comment ref="C99" authorId="7" shapeId="0" xr:uid="{A9987061-F169-47CB-8DB6-0F63FDA7C012}">
      <text>
        <t>[Threaded comment]
Your version of Excel allows you to read this threaded comment; however, any edits to it will get removed if the file is opened in a newer version of Excel. Learn more: https://go.microsoft.com/fwlink/?linkid=870924
Comment:
    Equation 8</t>
      </text>
    </comment>
    <comment ref="C104" authorId="8" shapeId="0" xr:uid="{7B85D47F-4BDB-4088-93E1-5A9870A4E1CC}">
      <text>
        <t>[Threaded comment]
Your version of Excel allows you to read this threaded comment; however, any edits to it will get removed if the file is opened in a newer version of Excel. Learn more: https://go.microsoft.com/fwlink/?linkid=870924
Comment:
    Equation 8</t>
      </text>
    </comment>
    <comment ref="C106" authorId="9" shapeId="0" xr:uid="{A9305493-4BF7-47D9-B359-5522D280C1AB}">
      <text>
        <t>[Threaded comment]
Your version of Excel allows you to read this threaded comment; however, any edits to it will get removed if the file is opened in a newer version of Excel. Learn more: https://go.microsoft.com/fwlink/?linkid=870924
Comment:
    Equation 7</t>
      </text>
    </comment>
    <comment ref="C107" authorId="10" shapeId="0" xr:uid="{4C2044EC-CABA-4FC4-AB32-B616067B697B}">
      <text>
        <t>[Threaded comment]
Your version of Excel allows you to read this threaded comment; however, any edits to it will get removed if the file is opened in a newer version of Excel. Learn more: https://go.microsoft.com/fwlink/?linkid=870924
Comment:
    Equation 9</t>
      </text>
    </comment>
    <comment ref="C109" authorId="11" shapeId="0" xr:uid="{B1430963-98FB-41EA-9F7F-43150F43C332}">
      <text>
        <t xml:space="preserve">[Threaded comment]
Your version of Excel allows you to read this threaded comment; however, any edits to it will get removed if the file is opened in a newer version of Excel. Learn more: https://go.microsoft.com/fwlink/?linkid=870924
Comment:
    Equation 6 </t>
      </text>
    </comment>
    <comment ref="C118" authorId="12" shapeId="0" xr:uid="{F6DEB045-0A1C-4D34-8EB5-FAFC9BB2A52B}">
      <text>
        <t>[Threaded comment]
Your version of Excel allows you to read this threaded comment; however, any edits to it will get removed if the file is opened in a newer version of Excel. Learn more: https://go.microsoft.com/fwlink/?linkid=870924
Comment:
    Equation 11</t>
      </text>
    </comment>
    <comment ref="C119" authorId="13" shapeId="0" xr:uid="{DB9CB7FA-2186-4414-A203-A0CA7A46C778}">
      <text>
        <t>[Threaded comment]
Your version of Excel allows you to read this threaded comment; however, any edits to it will get removed if the file is opened in a newer version of Excel. Learn more: https://go.microsoft.com/fwlink/?linkid=870924
Comment:
    Equation 10</t>
      </text>
    </comment>
    <comment ref="C124" authorId="14" shapeId="0" xr:uid="{78CF84C8-9CD8-4279-85DF-3610A777C338}">
      <text>
        <t>[Threaded comment]
Your version of Excel allows you to read this threaded comment; however, any edits to it will get removed if the file is opened in a newer version of Excel. Learn more: https://go.microsoft.com/fwlink/?linkid=870924
Comment:
    Equation 12</t>
      </text>
    </comment>
    <comment ref="C127" authorId="15" shapeId="0" xr:uid="{15C99BC9-1B9B-4C55-A169-E701F88AA4DC}">
      <text>
        <t>[Threaded comment]
Your version of Excel allows you to read this threaded comment; however, any edits to it will get removed if the file is opened in a newer version of Excel. Learn more: https://go.microsoft.com/fwlink/?linkid=870924
Comment:
    Equation 13</t>
      </text>
    </comment>
    <comment ref="C135" authorId="16" shapeId="0" xr:uid="{92C6E4FA-8091-49CF-809E-6004E44DE6A9}">
      <text>
        <t>[Threaded comment]
Your version of Excel allows you to read this threaded comment; however, any edits to it will get removed if the file is opened in a newer version of Excel. Learn more: https://go.microsoft.com/fwlink/?linkid=870924
Comment:
    Equation 14</t>
      </text>
    </comment>
    <comment ref="C153" authorId="17" shapeId="0" xr:uid="{381C20A4-BC65-4787-80E6-0B1729D5A4DB}">
      <text>
        <t>[Threaded comment]
Your version of Excel allows you to read this threaded comment; however, any edits to it will get removed if the file is opened in a newer version of Excel. Learn more: https://go.microsoft.com/fwlink/?linkid=870924
Comment:
    Equation 17</t>
      </text>
    </comment>
    <comment ref="C156" authorId="18" shapeId="0" xr:uid="{ECB4DBBA-B647-4728-BFBB-08D55F7C4B36}">
      <text>
        <t>[Threaded comment]
Your version of Excel allows you to read this threaded comment; however, any edits to it will get removed if the file is opened in a newer version of Excel. Learn more: https://go.microsoft.com/fwlink/?linkid=870924
Comment:
    Equation 18</t>
      </text>
    </comment>
    <comment ref="C160" authorId="19" shapeId="0" xr:uid="{1FD797BB-FC39-4976-BBB3-7E435F564CB8}">
      <text>
        <t>[Threaded comment]
Your version of Excel allows you to read this threaded comment; however, any edits to it will get removed if the file is opened in a newer version of Excel. Learn more: https://go.microsoft.com/fwlink/?linkid=870924
Comment:
    Equation 18</t>
      </text>
    </comment>
    <comment ref="C161" authorId="20" shapeId="0" xr:uid="{795DAC96-16E0-4F8E-8999-F85346F5F34F}">
      <text>
        <t>[Threaded comment]
Your version of Excel allows you to read this threaded comment; however, any edits to it will get removed if the file is opened in a newer version of Excel. Learn more: https://go.microsoft.com/fwlink/?linkid=870924
Comment:
    Equation 16</t>
      </text>
    </comment>
    <comment ref="C170" authorId="21" shapeId="0" xr:uid="{A3B019C2-4792-433D-A11C-5494A8897F1D}">
      <text>
        <t>[Threaded comment]
Your version of Excel allows you to read this threaded comment; however, any edits to it will get removed if the file is opened in a newer version of Excel. Learn more: https://go.microsoft.com/fwlink/?linkid=870924
Comment:
    Equation 19</t>
      </text>
    </comment>
    <comment ref="C171" authorId="22" shapeId="0" xr:uid="{4403C6BD-A216-4617-ACAE-85F34684C9F4}">
      <text>
        <t>[Threaded comment]
Your version of Excel allows you to read this threaded comment; however, any edits to it will get removed if the file is opened in a newer version of Excel. Learn more: https://go.microsoft.com/fwlink/?linkid=870924
Comment:
    Equation 20</t>
      </text>
    </comment>
    <comment ref="C186" authorId="23" shapeId="0" xr:uid="{16EE3180-13B8-435D-AB4B-B41BF8A82A34}">
      <text>
        <t>[Threaded comment]
Your version of Excel allows you to read this threaded comment; however, any edits to it will get removed if the file is opened in a newer version of Excel. Learn more: https://go.microsoft.com/fwlink/?linkid=870924
Comment:
    Equation 15</t>
      </text>
    </comment>
    <comment ref="C188" authorId="24" shapeId="0" xr:uid="{8D84DCE0-338F-4530-A106-7ED33C8619C8}">
      <text>
        <t>[Threaded comment]
Your version of Excel allows you to read this threaded comment; however, any edits to it will get removed if the file is opened in a newer version of Excel. Learn more: https://go.microsoft.com/fwlink/?linkid=870924
Comment:
    Equation 21</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tc={B2ABEA03-E591-4BA1-8F84-EFB2AACABAD5}</author>
    <author>tc={46E642FC-0057-4ACC-AEFA-41BCE1C96432}</author>
    <author>tc={A10BAFE8-3349-47E6-998B-268CEDE0DCF4}</author>
    <author>tc={1ECCE04B-5335-4A7F-8583-80047CBE0F68}</author>
    <author>tc={81382390-2CD5-40D6-8CAD-DE48D14460C7}</author>
  </authors>
  <commentList>
    <comment ref="F4" authorId="0" shapeId="0" xr:uid="{B2ABEA03-E591-4BA1-8F84-EFB2AACABAD5}">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46E642FC-0057-4ACC-AEFA-41BCE1C96432}">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A10BAFE8-3349-47E6-998B-268CEDE0DCF4}">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1ECCE04B-5335-4A7F-8583-80047CBE0F68}">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81382390-2CD5-40D6-8CAD-DE48D14460C7}">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tc={EBD2C15C-DEE7-440D-93B2-E9DE40075EDE}</author>
    <author>tc={DCBA95DF-B1A1-4740-A2F1-59A53225439D}</author>
  </authors>
  <commentList>
    <comment ref="A2" authorId="0" shapeId="0" xr:uid="{EBD2C15C-DEE7-440D-93B2-E9DE40075EDE}">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DCBA95DF-B1A1-4740-A2F1-59A53225439D}">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tc={D05E4BD6-84F4-482E-9C0F-1C2A4D841956}</author>
    <author>tc={56C25F91-110D-45FF-9915-82B3ED8459C6}</author>
    <author>tc={083C5E75-DDC5-4004-B5B8-5B1796D90592}</author>
    <author>tc={EB78B239-1A0A-4B19-9269-094CAC89CF00}</author>
    <author>tc={0F93CE27-27C4-40D7-8E04-8C27D96D1630}</author>
  </authors>
  <commentList>
    <comment ref="F4" authorId="0" shapeId="0" xr:uid="{D05E4BD6-84F4-482E-9C0F-1C2A4D841956}">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56C25F91-110D-45FF-9915-82B3ED8459C6}">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083C5E75-DDC5-4004-B5B8-5B1796D90592}">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EB78B239-1A0A-4B19-9269-094CAC89CF00}">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0F93CE27-27C4-40D7-8E04-8C27D96D1630}">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tc={28056113-E3E9-4FCC-AF6C-9499E6884162}</author>
    <author>tc={DBF52B4F-B2E4-4EE4-9158-6447065E818F}</author>
    <author>tc={3D791002-8E27-427E-96B7-AC24A956EF4D}</author>
    <author>tc={C5F16CC4-3E9E-4352-96EE-061B286DDDA1}</author>
  </authors>
  <commentList>
    <comment ref="F8" authorId="0" shapeId="0" xr:uid="{28056113-E3E9-4FCC-AF6C-9499E6884162}">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DBF52B4F-B2E4-4EE4-9158-6447065E818F}">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3D791002-8E27-427E-96B7-AC24A956EF4D}">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C5F16CC4-3E9E-4352-96EE-061B286DDDA1}">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tc={C7DB4D59-E2AB-4627-A4E7-DF36EAC198CB}</author>
  </authors>
  <commentList>
    <comment ref="A3" authorId="0" shapeId="0" xr:uid="{C7DB4D59-E2AB-4627-A4E7-DF36EAC198CB}">
      <text>
        <t xml:space="preserve">[Threaded comment]
Your version of Excel allows you to read this threaded comment; however, any edits to it will get removed if the file is opened in a newer version of Excel. Learn more: https://go.microsoft.com/fwlink/?linkid=870924
Comment:
    Add a line for each transportation activity (f). </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tc={5074F6AA-10FE-4BCA-A0ED-59878898ACED}</author>
    <author>tc={CE05C2A6-D1CB-4273-896C-9DC939EBE70A}</author>
    <author>tc={4420B24A-07E2-4D18-AE5F-BE347E4013F8}</author>
    <author>tc={D3B5BD3E-ACFA-4118-80C6-952B87D2434F}</author>
    <author>tc={FFED7DE8-2328-4160-95EE-6653F3917F9E}</author>
    <author>tc={7F0B004F-A16A-4480-AC4F-0660D3412EB6}</author>
    <author>tc={03CA6374-60E3-4A04-BEC7-A0C5F1DBF2AF}</author>
    <author>tc={6AEC3A2E-8A90-4FBF-AB3A-6B30815B8E95}</author>
    <author>tc={83621BEF-7F05-4699-B058-23F41D25521E}</author>
  </authors>
  <commentList>
    <comment ref="F9" authorId="0" shapeId="0" xr:uid="{5074F6AA-10FE-4BCA-A0ED-59878898ACED}">
      <text>
        <t>[Threaded comment]
Your version of Excel allows you to read this threaded comment; however, any edits to it will get removed if the file is opened in a newer version of Excel. Learn more: https://go.microsoft.com/fwlink/?linkid=870924
Comment:
    Eq 2</t>
      </text>
    </comment>
    <comment ref="F16" authorId="1" shapeId="0" xr:uid="{CE05C2A6-D1CB-4273-896C-9DC939EBE70A}">
      <text>
        <t>[Threaded comment]
Your version of Excel allows you to read this threaded comment; however, any edits to it will get removed if the file is opened in a newer version of Excel. Learn more: https://go.microsoft.com/fwlink/?linkid=870924
Comment:
    Tool 05</t>
      </text>
    </comment>
    <comment ref="F20" authorId="2" shapeId="0" xr:uid="{4420B24A-07E2-4D18-AE5F-BE347E4013F8}">
      <text>
        <t>[Threaded comment]
Your version of Excel allows you to read this threaded comment; however, any edits to it will get removed if the file is opened in a newer version of Excel. Learn more: https://go.microsoft.com/fwlink/?linkid=870924
Comment:
    Tool 03</t>
      </text>
    </comment>
    <comment ref="F22" authorId="3" shapeId="0" xr:uid="{D3B5BD3E-ACFA-4118-80C6-952B87D2434F}">
      <text>
        <t>[Threaded comment]
Your version of Excel allows you to read this threaded comment; however, any edits to it will get removed if the file is opened in a newer version of Excel. Learn more: https://go.microsoft.com/fwlink/?linkid=870924
Comment:
    Eq 4</t>
      </text>
    </comment>
    <comment ref="F27" authorId="4" shapeId="0" xr:uid="{FFED7DE8-2328-4160-95EE-6653F3917F9E}">
      <text>
        <t>[Threaded comment]
Your version of Excel allows you to read this threaded comment; however, any edits to it will get removed if the file is opened in a newer version of Excel. Learn more: https://go.microsoft.com/fwlink/?linkid=870924
Comment:
    Eq 5</t>
      </text>
    </comment>
    <comment ref="F28" authorId="5" shapeId="0" xr:uid="{7F0B004F-A16A-4480-AC4F-0660D3412EB6}">
      <text>
        <t>[Threaded comment]
Your version of Excel allows you to read this threaded comment; however, any edits to it will get removed if the file is opened in a newer version of Excel. Learn more: https://go.microsoft.com/fwlink/?linkid=870924
Comment:
    Eq 6 for option 1 and default for option 2</t>
      </text>
    </comment>
    <comment ref="F43" authorId="6" shapeId="0" xr:uid="{03CA6374-60E3-4A04-BEC7-A0C5F1DBF2AF}">
      <text>
        <t>[Threaded comment]
Your version of Excel allows you to read this threaded comment; however, any edits to it will get removed if the file is opened in a newer version of Excel. Learn more: https://go.microsoft.com/fwlink/?linkid=870924
Comment:
    Eq 7</t>
      </text>
    </comment>
    <comment ref="F44" authorId="7" shapeId="0" xr:uid="{6AEC3A2E-8A90-4FBF-AB3A-6B30815B8E95}">
      <text>
        <t>[Threaded comment]
Your version of Excel allows you to read this threaded comment; however, any edits to it will get removed if the file is opened in a newer version of Excel. Learn more: https://go.microsoft.com/fwlink/?linkid=870924
Comment:
    Eq 8 for option 1 and default for option 2</t>
      </text>
    </comment>
    <comment ref="F49" authorId="8" shapeId="0" xr:uid="{83621BEF-7F05-4699-B058-23F41D25521E}">
      <text>
        <t xml:space="preserve">[Threaded comment]
Your version of Excel allows you to read this threaded comment; however, any edits to it will get removed if the file is opened in a newer version of Excel. Learn more: https://go.microsoft.com/fwlink/?linkid=870924
Comment:
    Eq 9 with if/then for run-off wastewater that is collected and re-circulated </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tc={EFDF5DDA-058A-4C9B-988A-A1DFA97F35A0}</author>
    <author>tc={1274B20E-4957-4F2A-B73E-83DB3286E45B}</author>
    <author>tc={7F8C15E1-A88B-424C-8E66-6EA2D1BE76A4}</author>
    <author>tc={F14A9CA8-D1EE-4766-BD7A-43DBEC291D4B}</author>
    <author>tc={04A705DC-3817-499B-82E7-597568884FC2}</author>
    <author>tc={1AFCAF0C-3F68-4518-9503-FB97259A2C77}</author>
    <author>tc={FC21E873-0038-46DA-ABF2-A3FB83826BF5}</author>
    <author>tc={CEC7F70E-070F-4DEC-B31A-E52CB42FBDBA}</author>
    <author>tc={42AD66A2-3419-47C1-9E83-C08531E799E8}</author>
    <author>tc={85EAE3C4-3A39-4904-9FCB-EFFCD60B7747}</author>
    <author>tc={684ABE80-48F4-4DCB-AAD0-C7FA41BCA2FF}</author>
    <author>tc={28A8904D-750A-4F6D-9EC0-B11A48B95AFD}</author>
    <author>tc={EA056C27-489E-44DA-893B-CA9F55FE7FF2}</author>
    <author>tc={EC2446AC-121B-48D3-AF2A-8FB85C5FA91A}</author>
    <author>tc={9B89EF84-2890-42D9-95AB-5A82A63D9E4E}</author>
    <author>tc={DD321998-C426-4F6A-BF1B-825CE8242589}</author>
    <author>tc={BFB86B4C-3E55-4DB3-84A4-B982B0828E2E}</author>
    <author>tc={7107C21F-9792-4347-9CDC-479CE463C6C2}</author>
    <author>tc={CB98C320-0DDC-4CAB-924D-45591CCF9C9F}</author>
    <author>tc={FFEB4DF2-F791-4D49-992C-AD59E5D4AD90}</author>
    <author>tc={6A91C035-AF86-402A-B7ED-D1C19BE66B2D}</author>
    <author>tc={A3CED1DD-38A8-48B3-B410-A6E69B893D4C}</author>
    <author>tc={6F043615-F552-4609-A168-F59A9BDF222B}</author>
    <author>tc={0DEEF430-F308-4F40-8ABF-4AD4E3616F9E}</author>
    <author>tc={064EC417-825B-41F6-824E-6BAB53AACC12}</author>
    <author>tc={1024BF4E-1409-4DF0-9EA9-82C58C3C8579}</author>
    <author>tc={6C28D4D4-469D-414A-BA69-DC9F609D71DF}</author>
  </authors>
  <commentList>
    <comment ref="E13" authorId="0" shapeId="0" xr:uid="{EFDF5DDA-058A-4C9B-988A-A1DFA97F35A0}">
      <text>
        <t>[Threaded comment]
Your version of Excel allows you to read this threaded comment; however, any edits to it will get removed if the file is opened in a newer version of Excel. Learn more: https://go.microsoft.com/fwlink/?linkid=870924
Comment:
    Eq 1</t>
      </text>
    </comment>
    <comment ref="E14" authorId="1" shapeId="0" xr:uid="{1274B20E-4957-4F2A-B73E-83DB3286E45B}">
      <text>
        <t>[Threaded comment]
Your version of Excel allows you to read this threaded comment; however, any edits to it will get removed if the file is opened in a newer version of Excel. Learn more: https://go.microsoft.com/fwlink/?linkid=870924
Comment:
    Eq 3</t>
      </text>
    </comment>
    <comment ref="E15" authorId="2" shapeId="0" xr:uid="{7F8C15E1-A88B-424C-8E66-6EA2D1BE76A4}">
      <text>
        <t>[Threaded comment]
Your version of Excel allows you to read this threaded comment; however, any edits to it will get removed if the file is opened in a newer version of Excel. Learn more: https://go.microsoft.com/fwlink/?linkid=870924
Comment:
    Tool 05</t>
      </text>
    </comment>
    <comment ref="F15" authorId="3" shapeId="0" xr:uid="{F14A9CA8-D1EE-4766-BD7A-43DBEC291D4B}">
      <text>
        <t>[Threaded comment]
Your version of Excel allows you to read this threaded comment; however, any edits to it will get removed if the file is opened in a newer version of Excel. Learn more: https://go.microsoft.com/fwlink/?linkid=870924
Comment:
    Comes from tool 03</t>
      </text>
    </comment>
    <comment ref="E16" authorId="4" shapeId="0" xr:uid="{04A705DC-3817-499B-82E7-597568884FC2}">
      <text>
        <t>[Threaded comment]
Your version of Excel allows you to read this threaded comment; however, any edits to it will get removed if the file is opened in a newer version of Excel. Learn more: https://go.microsoft.com/fwlink/?linkid=870924
Comment:
    Eq 4</t>
      </text>
    </comment>
    <comment ref="E19" authorId="5" shapeId="0" xr:uid="{1AFCAF0C-3F68-4518-9503-FB97259A2C77}">
      <text>
        <t xml:space="preserve">[Threaded comment]
Your version of Excel allows you to read this threaded comment; however, any edits to it will get removed if the file is opened in a newer version of Excel. Learn more: https://go.microsoft.com/fwlink/?linkid=870924
Comment:
    Eq 4
Reply:
    Tool 8 Tool to determine the mass flow of a greenhouse gas in a gaseous stream </t>
      </text>
    </comment>
    <comment ref="E24" authorId="6" shapeId="0" xr:uid="{FC21E873-0038-46DA-ABF2-A3FB83826BF5}">
      <text>
        <t>[Threaded comment]
Your version of Excel allows you to read this threaded comment; however, any edits to it will get removed if the file is opened in a newer version of Excel. Learn more: https://go.microsoft.com/fwlink/?linkid=870924
Comment:
    Eq 3</t>
      </text>
    </comment>
    <comment ref="E28" authorId="7" shapeId="0" xr:uid="{CEC7F70E-070F-4DEC-B31A-E52CB42FBDBA}">
      <text>
        <t>[Threaded comment]
Your version of Excel allows you to read this threaded comment; however, any edits to it will get removed if the file is opened in a newer version of Excel. Learn more: https://go.microsoft.com/fwlink/?linkid=870924
Comment:
    Eq 9</t>
      </text>
    </comment>
    <comment ref="E29" authorId="8" shapeId="0" xr:uid="{42AD66A2-3419-47C1-9E83-C08531E799E8}">
      <text>
        <t>[Threaded comment]
Your version of Excel allows you to read this threaded comment; however, any edits to it will get removed if the file is opened in a newer version of Excel. Learn more: https://go.microsoft.com/fwlink/?linkid=870924
Comment:
    Eq 15</t>
      </text>
    </comment>
    <comment ref="E31" authorId="9" shapeId="0" xr:uid="{85EAE3C4-3A39-4904-9FCB-EFFCD60B7747}">
      <text>
        <t>[Threaded comment]
Your version of Excel allows you to read this threaded comment; however, any edits to it will get removed if the file is opened in a newer version of Excel. Learn more: https://go.microsoft.com/fwlink/?linkid=870924
Comment:
    Eq 10</t>
      </text>
    </comment>
    <comment ref="F34" authorId="10" shapeId="0" xr:uid="{684ABE80-48F4-4DCB-AAD0-C7FA41BCA2FF}">
      <text>
        <t>[Threaded comment]
Your version of Excel allows you to read this threaded comment; however, any edits to it will get removed if the file is opened in a newer version of Excel. Learn more: https://go.microsoft.com/fwlink/?linkid=870924
Comment:
    Methane</t>
      </text>
    </comment>
    <comment ref="E37" authorId="11" shapeId="0" xr:uid="{28A8904D-750A-4F6D-9EC0-B11A48B95AFD}">
      <text>
        <t>[Threaded comment]
Your version of Excel allows you to read this threaded comment; however, any edits to it will get removed if the file is opened in a newer version of Excel. Learn more: https://go.microsoft.com/fwlink/?linkid=870924
Comment:
    Eq 16</t>
      </text>
    </comment>
    <comment ref="E38" authorId="12" shapeId="0" xr:uid="{EA056C27-489E-44DA-893B-CA9F55FE7FF2}">
      <text>
        <t>[Threaded comment]
Your version of Excel allows you to read this threaded comment; however, any edits to it will get removed if the file is opened in a newer version of Excel. Learn more: https://go.microsoft.com/fwlink/?linkid=870924
Comment:
    Eq 17</t>
      </text>
    </comment>
    <comment ref="E42" authorId="13" shapeId="0" xr:uid="{EC2446AC-121B-48D3-AF2A-8FB85C5FA91A}">
      <text>
        <t>[Threaded comment]
Your version of Excel allows you to read this threaded comment; however, any edits to it will get removed if the file is opened in a newer version of Excel. Learn more: https://go.microsoft.com/fwlink/?linkid=870924
Comment:
    Eq 2</t>
      </text>
    </comment>
    <comment ref="C46" authorId="14" shapeId="0" xr:uid="{9B89EF84-2890-42D9-95AB-5A82A63D9E4E}">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47" authorId="15" shapeId="0" xr:uid="{DD321998-C426-4F6A-BF1B-825CE8242589}">
      <text>
        <t>[Threaded comment]
Your version of Excel allows you to read this threaded comment; however, any edits to it will get removed if the file is opened in a newer version of Excel. Learn more: https://go.microsoft.com/fwlink/?linkid=870924
Comment:
    Eq 1
Reply:
    Tool 05</t>
      </text>
    </comment>
    <comment ref="E49" authorId="16" shapeId="0" xr:uid="{BFB86B4C-3E55-4DB3-84A4-B982B0828E2E}">
      <text>
        <t>[Threaded comment]
Your version of Excel allows you to read this threaded comment; however, any edits to it will get removed if the file is opened in a newer version of Excel. Learn more: https://go.microsoft.com/fwlink/?linkid=870924
Comment:
    Eq 3</t>
      </text>
    </comment>
    <comment ref="C54" authorId="17" shapeId="0" xr:uid="{7107C21F-9792-4347-9CDC-479CE463C6C2}">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55" authorId="18" shapeId="0" xr:uid="{CB98C320-0DDC-4CAB-924D-45591CCF9C9F}">
      <text>
        <t>[Threaded comment]
Your version of Excel allows you to read this threaded comment; however, any edits to it will get removed if the file is opened in a newer version of Excel. Learn more: https://go.microsoft.com/fwlink/?linkid=870924
Comment:
    Eq 1
Reply:
    Tool 03</t>
      </text>
    </comment>
    <comment ref="E57" authorId="19" shapeId="0" xr:uid="{FFEB4DF2-F791-4D49-992C-AD59E5D4AD90}">
      <text>
        <t>[Threaded comment]
Your version of Excel allows you to read this threaded comment; however, any edits to it will get removed if the file is opened in a newer version of Excel. Learn more: https://go.microsoft.com/fwlink/?linkid=870924
Comment:
    Eq 4</t>
      </text>
    </comment>
    <comment ref="C62" authorId="20" shapeId="0" xr:uid="{6A91C035-AF86-402A-B7ED-D1C19BE66B2D}">
      <text>
        <t>[Threaded comment]
Your version of Excel allows you to read this threaded comment; however, any edits to it will get removed if the file is opened in a newer version of Excel. Learn more: https://go.microsoft.com/fwlink/?linkid=870924
Comment:
    Data comes from Tool 06</t>
      </text>
    </comment>
    <comment ref="E63" authorId="21" shapeId="0" xr:uid="{A3CED1DD-38A8-48B3-B410-A6E69B893D4C}">
      <text>
        <t>[Threaded comment]
Your version of Excel allows you to read this threaded comment; however, any edits to it will get removed if the file is opened in a newer version of Excel. Learn more: https://go.microsoft.com/fwlink/?linkid=870924
Comment:
    Tool 06
Reply:
    Eq 15</t>
      </text>
    </comment>
    <comment ref="E65" authorId="22" shapeId="0" xr:uid="{6F043615-F552-4609-A168-F59A9BDF222B}">
      <text>
        <t>[Threaded comment]
Your version of Excel allows you to read this threaded comment; however, any edits to it will get removed if the file is opened in a newer version of Excel. Learn more: https://go.microsoft.com/fwlink/?linkid=870924
Comment:
    Eq 5</t>
      </text>
    </comment>
    <comment ref="E69" authorId="23" shapeId="0" xr:uid="{0DEEF430-F308-4F40-8ABF-4AD4E3616F9E}">
      <text>
        <t>[Threaded comment]
Your version of Excel allows you to read this threaded comment; however, any edits to it will get removed if the file is opened in a newer version of Excel. Learn more: https://go.microsoft.com/fwlink/?linkid=870924
Comment:
    Eq 6</t>
      </text>
    </comment>
    <comment ref="E77" authorId="24" shapeId="0" xr:uid="{064EC417-825B-41F6-824E-6BAB53AACC12}">
      <text>
        <t>[Threaded comment]
Your version of Excel allows you to read this threaded comment; however, any edits to it will get removed if the file is opened in a newer version of Excel. Learn more: https://go.microsoft.com/fwlink/?linkid=870924
Comment:
    Eq 7</t>
      </text>
    </comment>
    <comment ref="E83" authorId="25" shapeId="0" xr:uid="{1024BF4E-1409-4DF0-9EA9-82C58C3C8579}">
      <text>
        <t>[Threaded comment]
Your version of Excel allows you to read this threaded comment; however, any edits to it will get removed if the file is opened in a newer version of Excel. Learn more: https://go.microsoft.com/fwlink/?linkid=870924
Comment:
    Eq 8</t>
      </text>
    </comment>
    <comment ref="E89" authorId="26" shapeId="0" xr:uid="{6C28D4D4-469D-414A-BA69-DC9F609D71DF}">
      <text>
        <t>[Threaded comment]
Your version of Excel allows you to read this threaded comment; however, any edits to it will get removed if the file is opened in a newer version of Excel. Learn more: https://go.microsoft.com/fwlink/?linkid=870924
Comment:
    Eq 8</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tc={32FA8A95-6B76-407D-BC9C-40C7B9953587}</author>
    <author>tc={6E12116C-0A59-49FE-AF8A-A72E2BF5E4DA}</author>
    <author>tc={D56DA566-7BDB-45EF-A73B-5C923C436A87}</author>
    <author>tc={FBAF497E-85D6-4FD2-820C-0F5F1DB9F488}</author>
    <author>tc={79D68DEA-F821-4CA7-A135-C637D3D8054C}</author>
    <author>tc={DE13F090-AC71-40EF-A1C3-055A74F27437}</author>
    <author>tc={90D6E656-59B1-419F-A59F-E455154D837D}</author>
    <author>tc={10E10ADF-24FB-4B7F-8B86-797E55343D23}</author>
    <author>tc={B016F1F1-7648-4B34-98A9-E47FA86D2124}</author>
    <author>tc={3B1E88A7-05A0-4C50-9912-CF70E20052C7}</author>
    <author>tc={014DE7F0-9F34-4FCA-8D8B-AE816DB7C32E}</author>
    <author>tc={7BFC8B06-ED72-4038-9088-EB05019B5FD5}</author>
    <author>tc={E62CC87F-DC2A-4AB0-847B-8B9A4F40BC17}</author>
    <author>tc={1A26B14B-C7F7-47D4-89EA-3D250CA62444}</author>
    <author>tc={A49D0B75-908A-4DA5-8C3C-E70DA8D9CB41}</author>
  </authors>
  <commentList>
    <comment ref="B38" authorId="0" shapeId="0" xr:uid="{32FA8A95-6B76-407D-BC9C-40C7B9953587}">
      <text>
        <t>[Threaded comment]
Your version of Excel allows you to read this threaded comment; however, any edits to it will get removed if the file is opened in a newer version of Excel. Learn more: https://go.microsoft.com/fwlink/?linkid=870924
Comment:
    Equation 8</t>
      </text>
    </comment>
    <comment ref="B43" authorId="1" shapeId="0" xr:uid="{6E12116C-0A59-49FE-AF8A-A72E2BF5E4DA}">
      <text>
        <t>[Threaded comment]
Your version of Excel allows you to read this threaded comment; however, any edits to it will get removed if the file is opened in a newer version of Excel. Learn more: https://go.microsoft.com/fwlink/?linkid=870924
Comment:
    Equation 7</t>
      </text>
    </comment>
    <comment ref="B48" authorId="2" shapeId="0" xr:uid="{D56DA566-7BDB-45EF-A73B-5C923C436A87}">
      <text>
        <t>[Threaded comment]
Your version of Excel allows you to read this threaded comment; however, any edits to it will get removed if the file is opened in a newer version of Excel. Learn more: https://go.microsoft.com/fwlink/?linkid=870924
Comment:
    Equation 6</t>
      </text>
    </comment>
    <comment ref="B54" authorId="3" shapeId="0" xr:uid="{FBAF497E-85D6-4FD2-820C-0F5F1DB9F488}">
      <text>
        <t>[Threaded comment]
Your version of Excel allows you to read this threaded comment; however, any edits to it will get removed if the file is opened in a newer version of Excel. Learn more: https://go.microsoft.com/fwlink/?linkid=870924
Comment:
    Equation 5</t>
      </text>
    </comment>
    <comment ref="B56" authorId="4" shapeId="0" xr:uid="{79D68DEA-F821-4CA7-A135-C637D3D8054C}">
      <text>
        <t>[Threaded comment]
Your version of Excel allows you to read this threaded comment; however, any edits to it will get removed if the file is opened in a newer version of Excel. Learn more: https://go.microsoft.com/fwlink/?linkid=870924
Comment:
    Equation 4</t>
      </text>
    </comment>
    <comment ref="B66" authorId="5" shapeId="0" xr:uid="{DE13F090-AC71-40EF-A1C3-055A74F27437}">
      <text>
        <t>[Threaded comment]
Your version of Excel allows you to read this threaded comment; however, any edits to it will get removed if the file is opened in a newer version of Excel. Learn more: https://go.microsoft.com/fwlink/?linkid=870924
Comment:
    Equation 3</t>
      </text>
    </comment>
    <comment ref="B70" authorId="6" shapeId="0" xr:uid="{90D6E656-59B1-419F-A59F-E455154D837D}">
      <text>
        <t>[Threaded comment]
Your version of Excel allows you to read this threaded comment; however, any edits to it will get removed if the file is opened in a newer version of Excel. Learn more: https://go.microsoft.com/fwlink/?linkid=870924
Comment:
    Equation 2</t>
      </text>
    </comment>
    <comment ref="B71" authorId="7" shapeId="0" xr:uid="{10E10ADF-24FB-4B7F-8B86-797E55343D23}">
      <text>
        <t>[Threaded comment]
Your version of Excel allows you to read this threaded comment; however, any edits to it will get removed if the file is opened in a newer version of Excel. Learn more: https://go.microsoft.com/fwlink/?linkid=870924
Comment:
    Equation 1</t>
      </text>
    </comment>
    <comment ref="B79" authorId="8" shapeId="0" xr:uid="{B016F1F1-7648-4B34-98A9-E47FA86D2124}">
      <text>
        <t>[Threaded comment]
Your version of Excel allows you to read this threaded comment; however, any edits to it will get removed if the file is opened in a newer version of Excel. Learn more: https://go.microsoft.com/fwlink/?linkid=870924
Comment:
    Equation 13</t>
      </text>
    </comment>
    <comment ref="B85" authorId="9" shapeId="0" xr:uid="{3B1E88A7-05A0-4C50-9912-CF70E20052C7}">
      <text>
        <t>[Threaded comment]
Your version of Excel allows you to read this threaded comment; however, any edits to it will get removed if the file is opened in a newer version of Excel. Learn more: https://go.microsoft.com/fwlink/?linkid=870924
Comment:
    Equation 11</t>
      </text>
    </comment>
    <comment ref="B91" authorId="10" shapeId="0" xr:uid="{014DE7F0-9F34-4FCA-8D8B-AE816DB7C32E}">
      <text>
        <t>[Threaded comment]
Your version of Excel allows you to read this threaded comment; however, any edits to it will get removed if the file is opened in a newer version of Excel. Learn more: https://go.microsoft.com/fwlink/?linkid=870924
Comment:
    Equation 9</t>
      </text>
    </comment>
    <comment ref="B95" authorId="11" shapeId="0" xr:uid="{7BFC8B06-ED72-4038-9088-EB05019B5FD5}">
      <text>
        <t>[Threaded comment]
Your version of Excel allows you to read this threaded comment; however, any edits to it will get removed if the file is opened in a newer version of Excel. Learn more: https://go.microsoft.com/fwlink/?linkid=870924
Comment:
    Equation 14</t>
      </text>
    </comment>
    <comment ref="B101" authorId="12" shapeId="0" xr:uid="{E62CC87F-DC2A-4AB0-847B-8B9A4F40BC17}">
      <text>
        <t>[Threaded comment]
Your version of Excel allows you to read this threaded comment; however, any edits to it will get removed if the file is opened in a newer version of Excel. Learn more: https://go.microsoft.com/fwlink/?linkid=870924
Comment:
    Equation 12</t>
      </text>
    </comment>
    <comment ref="B107" authorId="13" shapeId="0" xr:uid="{1A26B14B-C7F7-47D4-89EA-3D250CA62444}">
      <text>
        <t>[Threaded comment]
Your version of Excel allows you to read this threaded comment; however, any edits to it will get removed if the file is opened in a newer version of Excel. Learn more: https://go.microsoft.com/fwlink/?linkid=870924
Comment:
    Equation 10</t>
      </text>
    </comment>
    <comment ref="B116" authorId="14" shapeId="0" xr:uid="{A49D0B75-908A-4DA5-8C3C-E70DA8D9CB41}">
      <text>
        <t>[Threaded comment]
Your version of Excel allows you to read this threaded comment; however, any edits to it will get removed if the file is opened in a newer version of Excel. Learn more: https://go.microsoft.com/fwlink/?linkid=870924
Comment:
    Equation 15</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tc={61EA5ED5-8317-454F-A287-0A43790CC627}</author>
    <author>tc={D3F87FD9-BE36-4EDC-8E9B-A72F54C89FAE}</author>
    <author>tc={FB548790-7C20-4FFF-A73A-39537544D145}</author>
  </authors>
  <commentList>
    <comment ref="A1" authorId="0" shapeId="0" xr:uid="{61EA5ED5-8317-454F-A287-0A43790CC627}">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8" authorId="1" shapeId="0" xr:uid="{D3F87FD9-BE36-4EDC-8E9B-A72F54C89FAE}">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13" authorId="2" shapeId="0" xr:uid="{FB548790-7C20-4FFF-A73A-39537544D145}">
      <text>
        <t>[Threaded comment]
Your version of Excel allows you to read this threaded comment; however, any edits to it will get removed if the file is opened in a newer version of Excel. Learn more: https://go.microsoft.com/fwlink/?linkid=870924
Comment:
    Unless allowed by the methodology, only positive leakage, i.e. increased emissions outside the project boundary, can be accounted under this tool. If the result of the leakage calculation is negative, assume a value equals to zero.</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tc={9646E5F7-3E1A-4E49-B9C5-3983831050A3}</author>
    <author>tc={637CF8C4-E155-4E8D-80AE-D80627BC9E62}</author>
    <author>tc={A78B2F68-F132-4329-A5D7-B46F1AB8D31C}</author>
    <author>tc={049ECA95-B8B2-495B-A9C6-1F4592632A4F}</author>
    <author>tc={17A5C06D-2972-4EAC-9223-CD92F00F5A56}</author>
    <author>tc={C164D4E7-A8A6-49D7-AB3C-5A1D1AE930D1}</author>
  </authors>
  <commentList>
    <comment ref="A4" authorId="0" shapeId="0" xr:uid="{9646E5F7-3E1A-4E49-B9C5-3983831050A3}">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5" authorId="1" shapeId="0" xr:uid="{637CF8C4-E155-4E8D-80AE-D80627BC9E62}">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12" authorId="2" shapeId="0" xr:uid="{A78B2F68-F132-4329-A5D7-B46F1AB8D31C}">
      <text>
        <t xml:space="preserve">[Threaded comment]
Your version of Excel allows you to read this threaded comment; however, any edits to it will get removed if the file is opened in a newer version of Excel. Learn more: https://go.microsoft.com/fwlink/?linkid=870924
Comment:
    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
      </text>
    </comment>
    <comment ref="A13" authorId="3" shapeId="0" xr:uid="{049ECA95-B8B2-495B-A9C6-1F4592632A4F}">
      <text>
        <t xml:space="preserve">[Threaded comment]
Your version of Excel allows you to read this threaded comment; however, any edits to it will get removed if the file is opened in a newer version of Excel. Learn more: https://go.microsoft.com/fwlink/?linkid=870924
Comment:
    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
      </text>
    </comment>
    <comment ref="A24" authorId="4" shapeId="0" xr:uid="{17A5C06D-2972-4EAC-9223-CD92F00F5A56}">
      <text>
        <t>[Threaded comment]
Your version of Excel allows you to read this threaded comment; however, any edits to it will get removed if the file is opened in a newer version of Excel. Learn more: https://go.microsoft.com/fwlink/?linkid=870924
Comment: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
      </text>
    </comment>
    <comment ref="A25" authorId="5" shapeId="0" xr:uid="{C164D4E7-A8A6-49D7-AB3C-5A1D1AE930D1}">
      <text>
        <t xml:space="preserve">[Threaded comment]
Your version of Excel allows you to read this threaded comment; however, any edits to it will get removed if the file is opened in a newer version of Excel. Learn more: https://go.microsoft.com/fwlink/?linkid=870924
Comment:
    Help Text: The stock data should be used only if there is no sales data. 
Reply: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tc={0BA5137B-8946-4F75-8E4F-7213735590D7}</author>
  </authors>
  <commentList>
    <comment ref="F10" authorId="0" shapeId="0" xr:uid="{0BA5137B-8946-4F75-8E4F-7213735590D7}">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tc={0AD5071C-DEAC-4769-AF64-0356E24E47A3}</author>
    <author>tc={3B4726AF-84F7-4AE7-83B1-3957285E188B}</author>
    <author>tc={2C22FCA1-4B5B-4DC6-9E3A-2C83EC7E0420}</author>
    <author>tc={89892774-869F-4252-8378-0EE0C69254EA}</author>
    <author>tc={6F180D35-4927-4632-9AFC-2FDE53D52E48}</author>
    <author>tc={A4F8213A-6AD8-42CF-9085-E399E8236FE7}</author>
    <author>tc={88D565B5-7F2E-4CA5-8307-26B396850929}</author>
  </authors>
  <commentList>
    <comment ref="A6" authorId="0" shapeId="0" xr:uid="{0AD5071C-DEAC-4769-AF64-0356E24E47A3}">
      <text>
        <t xml:space="preserve">[Threaded comment]
Your version of Excel allows you to read this threaded comment; however, any edits to it will get removed if the file is opened in a newer version of Excel. Learn more: https://go.microsoft.com/fwlink/?linkid=870924
Comment:
    Help Text: For biomass from forests and biomass from croplands or grasslands, the project boundary shall include the area where the biomass is extracted or produced. </t>
      </text>
    </comment>
    <comment ref="A9" authorId="1" shapeId="0" xr:uid="{3B4726AF-84F7-4AE7-83B1-3957285E188B}">
      <text>
        <t xml:space="preserve">[Threaded comment]
Your version of Excel allows you to read this threaded comment; however, any edits to it will get removed if the file is opened in a newer version of Excel. Learn more: https://go.microsoft.com/fwlink/?linkid=870924
Comment:
    Help Text: These emission sources may be project emissions (if under the control of project participants, i.e. if the land area where the biomass is grown is included in the project boundary) or sources of leakage (if the source is not under control of project participants).
</t>
      </text>
    </comment>
    <comment ref="A13" authorId="2" shapeId="0" xr:uid="{2C22FCA1-4B5B-4DC6-9E3A-2C83EC7E0420}">
      <text>
        <t xml:space="preserve">[Threaded comment]
Your version of Excel allows you to read this threaded comment; however, any edits to it will get removed if the file is opened in a newer version of Excel. Learn more: https://go.microsoft.com/fwlink/?linkid=870924
Comment:
    Help Text: Shifts of pre-project activities are relevant where in the absence of the project activity the land areas would be used for other purposes (i.e. agriculture). Consequently, as a first guidance, project participants may neglect leakage effects due to shifts in pre-project activities, where the land would not be used or where the land use (inside the project boundary) does not change as a result of the project activity. For other types of biomass, deforestation on other land areas as a result of shifts of preproject activities might be the most important potential leakage source. For the assessment of whether a project activity results in deforestation elsewhere, it can be necessary to evaluate whether there is significant land pressure in the area. 
</t>
      </text>
    </comment>
    <comment ref="A17" authorId="3" shapeId="0" xr:uid="{89892774-869F-4252-8378-0EE0C69254EA}">
      <text>
        <t>[Threaded comment]
Your version of Excel allows you to read this threaded comment; however, any edits to it will get removed if the file is opened in a newer version of Excel. Learn more: https://go.microsoft.com/fwlink/?linkid=870924
Comment:
    Help Text: These emissions sources shall respectively be included in a simplified manner, not involving any significant transaction costs. All other emission sources are likely to be smaller than 10% (each) - including transportation of raw materials and biomass, fossil fuel consumption for the cultivation of plantations - and can therefore be neglected in the context of SSC project activities.</t>
      </text>
    </comment>
    <comment ref="A18" authorId="4" shapeId="0" xr:uid="{6F180D35-4927-4632-9AFC-2FDE53D52E48}">
      <text>
        <t xml:space="preserve">[Threaded comment]
Your version of Excel allows you to read this threaded comment; however, any edits to it will get removed if the file is opened in a newer version of Excel. Learn more: https://go.microsoft.com/fwlink/?linkid=870924
Comment:
    Help Text: Project participants shall monitor the type and quantity of fertilizer applied to the land areas. N2O emissions from the use of synthetic and organic fertilizers shall be estimated according to provisions outlined in the Revised 1996 IPCC Guidelines for National Greenhouse Gas Inventories (Chapter. 4.5). </t>
      </text>
    </comment>
    <comment ref="A19" authorId="5" shapeId="0" xr:uid="{A4F8213A-6AD8-42CF-9085-E399E8236FE7}">
      <text>
        <t>[Threaded comment]
Your version of Excel allows you to read this threaded comment; however, any edits to it will get removed if the file is opened in a newer version of Excel. Learn more: https://go.microsoft.com/fwlink/?linkid=870924
Comment:
    Help Text: Project emissions from clearance of lands can be significant in cases where an area is deforested to produce the biomass. In other cases, the land area (e.g., abandoned land) can regenerate in the absence of production of the biomass resulting in increasing carbon stocks in carbon pools. As a consequence, carbon stocks in carbon pools could be higher in the baseline scenario than in the project scenario. However, as a simplification, it is suggested to neglect this latter case. The potential of deforestation due to the implementation of the CDM project activity must be addressed by considering the following applicability condition: Where the project activity involves the use of a type of renewable biomass that is not a biomass residues or waste, project participants shall demonstrate that the area where the biomass is grown is not a forest (as per DNA forest definition) and has not been deforested, according to the forest definition by the national DNA, during the last 10 years prior to the implementation of the project activity. In the absence of forest definition from the DNA, definitions provided by relevant international organisations (e.g., FAO) shall be used.</t>
      </text>
    </comment>
    <comment ref="A22" authorId="6" shapeId="0" xr:uid="{88D565B5-7F2E-4CA5-8307-26B396850929}">
      <text>
        <t xml:space="preserve">[Threaded comment]
Your version of Excel allows you to read this threaded comment; however, any edits to it will get removed if the file is opened in a newer version of Excel. Learn more: https://go.microsoft.com/fwlink/?linkid=870924
Comment:
    Help Text: This shall be demonstrated using published literature, official reports, surveys etc. The surplus must be at least 25% larger than the quantity of biomass that is utilized including the project activity.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tc={8C8B3660-61F4-4070-BB38-C8EB414278E6}</author>
    <author>tc={B426CF24-C624-4583-88A2-FF224D7F8164}</author>
    <author>tc={84BEC392-622E-44A6-9937-C0CBEAC0D297}</author>
    <author>tc={B1E967E5-39F5-433C-B1E7-FA43747AF180}</author>
    <author>tc={394E0161-FDCA-4FDF-A3F2-92373E6D4313}</author>
    <author>tc={4D7F7A5F-5E6F-496D-86FC-F3F47690119E}</author>
    <author>tc={9B0D2B2A-EFBF-406A-A2A9-13B9B4108A67}</author>
    <author>tc={FDAA42E9-80D5-4A76-89B0-F8C7FD979787}</author>
  </authors>
  <commentList>
    <comment ref="B34" authorId="0" shapeId="0" xr:uid="{8C8B3660-61F4-4070-BB38-C8EB414278E6}">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B426CF24-C624-4583-88A2-FF224D7F8164}">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84BEC392-622E-44A6-9937-C0CBEAC0D297}">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B1E967E5-39F5-433C-B1E7-FA43747AF180}">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394E0161-FDCA-4FDF-A3F2-92373E6D4313}">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4D7F7A5F-5E6F-496D-86FC-F3F47690119E}">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9B0D2B2A-EFBF-406A-A2A9-13B9B4108A67}">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FDAA42E9-80D5-4A76-89B0-F8C7FD979787}">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tc={6ED1E757-956C-44A3-9A6F-DF8412497CC2}</author>
  </authors>
  <commentList>
    <comment ref="A2" authorId="0" shapeId="0" xr:uid="{6ED1E757-956C-44A3-9A6F-DF8412497CC2}">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tc={241EE2ED-CE98-4676-AA0C-8DD60FB90173}</author>
    <author>tc={7CADBB56-0B15-4698-AEB1-970EDD8D17C5}</author>
    <author>tc={7F42A2CC-2F1A-4447-9050-2A00D298BE13}</author>
    <author>tc={F21DB304-5220-4FCE-AF2B-2D546477592C}</author>
    <author>tc={D2D680F3-426B-42AA-A25F-FD54436691E7}</author>
    <author>tc={9F177AB6-C37A-41EE-A80D-3D70F736921B}</author>
    <author>tc={17CD2BC9-6009-44AD-AAC4-EC7DDFA3861E}</author>
    <author>tc={5697C82E-AF2E-4C2F-A1E6-A6B7A8CCC2CB}</author>
  </authors>
  <commentList>
    <comment ref="F6" authorId="0" shapeId="0" xr:uid="{241EE2ED-CE98-4676-AA0C-8DD60FB90173}">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7CADBB56-0B15-4698-AEB1-970EDD8D17C5}">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7F42A2CC-2F1A-4447-9050-2A00D298BE13}">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F21DB304-5220-4FCE-AF2B-2D546477592C}">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D2D680F3-426B-42AA-A25F-FD54436691E7}">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9F177AB6-C37A-41EE-A80D-3D70F736921B}">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17CD2BC9-6009-44AD-AAC4-EC7DDFA3861E}">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5697C82E-AF2E-4C2F-A1E6-A6B7A8CCC2CB}">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tc={5DF69D01-9AF8-4916-AED2-4CC42D3D3D7F}</author>
    <author>tc={36F33592-294F-42E7-B6D0-40972BB70E0E}</author>
    <author>tc={883228E2-12A7-4FA8-9C1A-59CD5A780E4F}</author>
    <author>tc={84E32CD5-D768-42EE-A4CA-4F823F79EC35}</author>
    <author>tc={91D9319F-A48C-40A6-8018-29A549EFB79D}</author>
    <author>tc={205E3575-77B9-43E6-8AAD-7880C7AF2054}</author>
    <author>tc={2FBB5051-3BFA-4411-AC08-20C88E3F23A3}</author>
    <author>tc={41D7256F-5CFA-454E-82BF-212022FDCC69}</author>
    <author>tc={7F35FA82-03DB-4E7E-95DC-871394863968}</author>
    <author>tc={7088DA55-8C55-4D98-8085-F3B19DA646EC}</author>
    <author>tc={561F0F56-8782-48BD-871B-30BFD0799816}</author>
    <author>tc={7E958901-C323-4395-A38A-282B49A34328}</author>
    <author>tc={449C686F-8C4E-4181-84A2-2E57384DD0AD}</author>
    <author>tc={CBC54725-94F6-401C-9E21-06BAB1DF8238}</author>
    <author>tc={AF039C15-3A0E-460B-BD9F-6984DBBDF6CB}</author>
    <author>tc={B1C7C0B3-4DEA-42B2-B973-62967AE13D67}</author>
    <author>tc={7E8B5D89-B3A0-45CF-9CF9-2E70983FAEA7}</author>
    <author>tc={3E062CAE-7853-466B-ACB6-DD046D9B1624}</author>
    <author>tc={7A6A337D-CB72-42EA-BABD-A6404572377A}</author>
    <author>tc={0CA0F82F-842C-4B13-A56F-182C2E6095F1}</author>
  </authors>
  <commentList>
    <comment ref="F3" authorId="0" shapeId="0" xr:uid="{5DF69D01-9AF8-4916-AED2-4CC42D3D3D7F}">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36F33592-294F-42E7-B6D0-40972BB70E0E}">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883228E2-12A7-4FA8-9C1A-59CD5A780E4F}">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84E32CD5-D768-42EE-A4CA-4F823F79EC35}">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91D9319F-A48C-40A6-8018-29A549EFB79D}">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205E3575-77B9-43E6-8AAD-7880C7AF2054}">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2FBB5051-3BFA-4411-AC08-20C88E3F23A3}">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41D7256F-5CFA-454E-82BF-212022FDCC69}">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7F35FA82-03DB-4E7E-95DC-871394863968}">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7088DA55-8C55-4D98-8085-F3B19DA646EC}">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561F0F56-8782-48BD-871B-30BFD0799816}">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7E958901-C323-4395-A38A-282B49A34328}">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449C686F-8C4E-4181-84A2-2E57384DD0AD}">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CBC54725-94F6-401C-9E21-06BAB1DF8238}">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AF039C15-3A0E-460B-BD9F-6984DBBDF6CB}">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B1C7C0B3-4DEA-42B2-B973-62967AE13D67}">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7E8B5D89-B3A0-45CF-9CF9-2E70983FAEA7}">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3E062CAE-7853-466B-ACB6-DD046D9B1624}">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7A6A337D-CB72-42EA-BABD-A6404572377A}">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0CA0F82F-842C-4B13-A56F-182C2E6095F1}">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tc={E6C92DB4-D90E-4933-BDAD-2E4F7DB1697C}</author>
  </authors>
  <commentList>
    <comment ref="D3" authorId="0" shapeId="0" xr:uid="{E6C92DB4-D90E-4933-BDAD-2E4F7DB1697C}">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tc={38836FAA-1F8D-4B77-96D1-AE2E4987DF9E}</author>
    <author>tc={B39D5E90-222E-40D5-A048-84DAD73DA21E}</author>
    <author>tc={368356BB-DB3B-48F4-9F08-D195A73C7FFD}</author>
    <author>tc={32CA48B0-23F5-4EB4-B56B-5CD94038C17D}</author>
    <author>tc={09FD1F75-F2BE-494F-8D27-B3940F03A6A6}</author>
    <author>tc={9690CDFA-4726-4BE0-8747-403900AC0739}</author>
    <author>tc={557A884A-ABC3-4C4E-A37A-743BE117F2ED}</author>
    <author>tc={2C731843-F625-4B2E-A4B2-9A3FD1DE3A43}</author>
    <author>tc={AE5E0DF2-CD96-4C0E-949F-40AD50485CAE}</author>
    <author>tc={6B9DD6DA-9BC6-48A1-B716-B0C9EBF4A13C}</author>
    <author>tc={84B450C3-ACC6-4F60-9CE7-F80353EE4165}</author>
    <author>tc={12197156-05F5-481D-9267-716FEE5C36DE}</author>
    <author>tc={B71DBA06-0373-454F-961D-6379E6EC0699}</author>
    <author>tc={B5E2E43F-80FB-47BE-9803-9B19A3FBDEF0}</author>
    <author>tc={7E621A16-4BDC-463A-9F64-3221C9B5E8FB}</author>
    <author>tc={32FD0FDE-1DF9-4BB5-8EB7-8504AE8F8DD6}</author>
    <author>tc={3935870F-A1E2-444D-A861-1E594BC6EC6A}</author>
    <author>tc={70E2437A-75F7-4F2E-B8C7-DD0A8B243530}</author>
    <author>tc={7DD12030-2471-4CCE-BF5E-72FBE37FD1AB}</author>
  </authors>
  <commentList>
    <comment ref="C44" authorId="0" shapeId="0" xr:uid="{38836FAA-1F8D-4B77-96D1-AE2E4987DF9E}">
      <text>
        <t>[Threaded comment]
Your version of Excel allows you to read this threaded comment; however, any edits to it will get removed if the file is opened in a newer version of Excel. Learn more: https://go.microsoft.com/fwlink/?linkid=870924
Comment:
    Eq 5</t>
      </text>
    </comment>
    <comment ref="C45" authorId="1" shapeId="0" xr:uid="{B39D5E90-222E-40D5-A048-84DAD73DA21E}">
      <text>
        <t>[Threaded comment]
Your version of Excel allows you to read this threaded comment; however, any edits to it will get removed if the file is opened in a newer version of Excel. Learn more: https://go.microsoft.com/fwlink/?linkid=870924
Comment:
    Eq 6</t>
      </text>
    </comment>
    <comment ref="C48" authorId="2" shapeId="0" xr:uid="{368356BB-DB3B-48F4-9F08-D195A73C7FFD}">
      <text>
        <t>[Threaded comment]
Your version of Excel allows you to read this threaded comment; however, any edits to it will get removed if the file is opened in a newer version of Excel. Learn more: https://go.microsoft.com/fwlink/?linkid=870924
Comment:
    Eq 7</t>
      </text>
    </comment>
    <comment ref="C49" authorId="3" shapeId="0" xr:uid="{32CA48B0-23F5-4EB4-B56B-5CD94038C17D}">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0" authorId="4" shapeId="0" xr:uid="{09FD1F75-F2BE-494F-8D27-B3940F03A6A6}">
      <text>
        <t>[Threaded comment]
Your version of Excel allows you to read this threaded comment; however, any edits to it will get removed if the file is opened in a newer version of Excel. Learn more: https://go.microsoft.com/fwlink/?linkid=870924
Comment:
    Eq 5 in tool 08</t>
      </text>
    </comment>
    <comment ref="C51" authorId="5" shapeId="0" xr:uid="{9690CDFA-4726-4BE0-8747-403900AC0739}">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4" authorId="6" shapeId="0" xr:uid="{557A884A-ABC3-4C4E-A37A-743BE117F2ED}">
      <text>
        <t>[Threaded comment]
Your version of Excel allows you to read this threaded comment; however, any edits to it will get removed if the file is opened in a newer version of Excel. Learn more: https://go.microsoft.com/fwlink/?linkid=870924
Comment:
    Eq 3</t>
      </text>
    </comment>
    <comment ref="C56" authorId="7" shapeId="0" xr:uid="{2C731843-F625-4B2E-A4B2-9A3FD1DE3A43}">
      <text>
        <t>[Threaded comment]
Your version of Excel allows you to read this threaded comment; however, any edits to it will get removed if the file is opened in a newer version of Excel. Learn more: https://go.microsoft.com/fwlink/?linkid=870924
Comment:
    Eq 4</t>
      </text>
    </comment>
    <comment ref="C57" authorId="8" shapeId="0" xr:uid="{AE5E0DF2-CD96-4C0E-949F-40AD50485CAE}">
      <text>
        <t>[Threaded comment]
Your version of Excel allows you to read this threaded comment; however, any edits to it will get removed if the file is opened in a newer version of Excel. Learn more: https://go.microsoft.com/fwlink/?linkid=870924
Comment:
    Eq 8</t>
      </text>
    </comment>
    <comment ref="C58" authorId="9" shapeId="0" xr:uid="{6B9DD6DA-9BC6-48A1-B716-B0C9EBF4A13C}">
      <text>
        <t>[Threaded comment]
Your version of Excel allows you to read this threaded comment; however, any edits to it will get removed if the file is opened in a newer version of Excel. Learn more: https://go.microsoft.com/fwlink/?linkid=870924
Comment:
    Eq 9</t>
      </text>
    </comment>
    <comment ref="C59" authorId="10" shapeId="0" xr:uid="{84B450C3-ACC6-4F60-9CE7-F80353EE4165}">
      <text>
        <t>[Threaded comment]
Your version of Excel allows you to read this threaded comment; however, any edits to it will get removed if the file is opened in a newer version of Excel. Learn more: https://go.microsoft.com/fwlink/?linkid=870924
Comment:
    Eq 10</t>
      </text>
    </comment>
    <comment ref="C60" authorId="11" shapeId="0" xr:uid="{12197156-05F5-481D-9267-716FEE5C36DE}">
      <text>
        <t>[Threaded comment]
Your version of Excel allows you to read this threaded comment; however, any edits to it will get removed if the file is opened in a newer version of Excel. Learn more: https://go.microsoft.com/fwlink/?linkid=870924
Comment:
    Eq 11</t>
      </text>
    </comment>
    <comment ref="C61" authorId="12" shapeId="0" xr:uid="{B71DBA06-0373-454F-961D-6379E6EC0699}">
      <text>
        <t>[Threaded comment]
Your version of Excel allows you to read this threaded comment; however, any edits to it will get removed if the file is opened in a newer version of Excel. Learn more: https://go.microsoft.com/fwlink/?linkid=870924
Comment:
    Eq 12</t>
      </text>
    </comment>
    <comment ref="C62" authorId="13" shapeId="0" xr:uid="{B5E2E43F-80FB-47BE-9803-9B19A3FBDEF0}">
      <text>
        <t>[Threaded comment]
Your version of Excel allows you to read this threaded comment; however, any edits to it will get removed if the file is opened in a newer version of Excel. Learn more: https://go.microsoft.com/fwlink/?linkid=870924
Comment:
    Eq 13</t>
      </text>
    </comment>
    <comment ref="C64" authorId="14" shapeId="0" xr:uid="{7E621A16-4BDC-463A-9F64-3221C9B5E8FB}">
      <text>
        <t>[Threaded comment]
Your version of Excel allows you to read this threaded comment; however, any edits to it will get removed if the file is opened in a newer version of Excel. Learn more: https://go.microsoft.com/fwlink/?linkid=870924
Comment:
    Eq 14</t>
      </text>
    </comment>
    <comment ref="C65" authorId="15" shapeId="0" xr:uid="{32FD0FDE-1DF9-4BB5-8EB7-8504AE8F8DD6}">
      <text>
        <t>[Threaded comment]
Your version of Excel allows you to read this threaded comment; however, any edits to it will get removed if the file is opened in a newer version of Excel. Learn more: https://go.microsoft.com/fwlink/?linkid=870924
Comment:
    Eq 14</t>
      </text>
    </comment>
    <comment ref="C66" authorId="16" shapeId="0" xr:uid="{3935870F-A1E2-444D-A861-1E594BC6EC6A}">
      <text>
        <t>[Threaded comment]
Your version of Excel allows you to read this threaded comment; however, any edits to it will get removed if the file is opened in a newer version of Excel. Learn more: https://go.microsoft.com/fwlink/?linkid=870924
Comment:
    Eq 14</t>
      </text>
    </comment>
    <comment ref="C67" authorId="17" shapeId="0" xr:uid="{70E2437A-75F7-4F2E-B8C7-DD0A8B243530}">
      <text>
        <t>[Threaded comment]
Your version of Excel allows you to read this threaded comment; however, any edits to it will get removed if the file is opened in a newer version of Excel. Learn more: https://go.microsoft.com/fwlink/?linkid=870924
Comment:
    Eq 14</t>
      </text>
    </comment>
    <comment ref="C69" authorId="18" shapeId="0" xr:uid="{7DD12030-2471-4CCE-BF5E-72FBE37FD1AB}">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tc={FCD54CE5-F831-46BF-A3A6-508281F90123}</author>
    <author>tc={EE4C944F-CA65-4002-B94D-E73E46D9E2F6}</author>
    <author>tc={AE2F9B65-18AE-4CB7-802F-847C395B3C74}</author>
    <author>tc={EC110BF9-68AE-4FAC-9F9C-256F862408C9}</author>
    <author>tc={E987DFB9-B01B-4E01-853B-E0ADF2237B5F}</author>
  </authors>
  <commentList>
    <comment ref="F4" authorId="0" shapeId="0" xr:uid="{FCD54CE5-F831-46BF-A3A6-508281F90123}">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EE4C944F-CA65-4002-B94D-E73E46D9E2F6}">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AE2F9B65-18AE-4CB7-802F-847C395B3C74}">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EC110BF9-68AE-4FAC-9F9C-256F862408C9}">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E987DFB9-B01B-4E01-853B-E0ADF2237B5F}">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sharedStrings.xml><?xml version="1.0" encoding="utf-8"?>
<sst xmlns="http://schemas.openxmlformats.org/spreadsheetml/2006/main" count="5861" uniqueCount="2502">
  <si>
    <t>Properties</t>
  </si>
  <si>
    <t>Parameter</t>
  </si>
  <si>
    <t xml:space="preserve">Question </t>
  </si>
  <si>
    <t xml:space="preserve">Answer </t>
  </si>
  <si>
    <t>Required</t>
  </si>
  <si>
    <t>Help Text</t>
  </si>
  <si>
    <t>Dev Notes</t>
  </si>
  <si>
    <t>Schema Type</t>
  </si>
  <si>
    <t>Allow Multiple Answers</t>
  </si>
  <si>
    <t>Selective Disclosure</t>
  </si>
  <si>
    <t>Project Details</t>
  </si>
  <si>
    <t>NA</t>
  </si>
  <si>
    <t>Summary of the Project Description</t>
  </si>
  <si>
    <t xml:space="preserve">J.N.P. Products is a bulk drug manufacturing unit with a current production capacity of 19200 MTPA of Para Amino Phenol, the key raw material for manufacturing paracetamol. J.N.P. Products requires 6 tons/hr of steam in their manufacturing process.
The CDM project activity involves installation of new solid fuel based Combipac, Steam Boiler capable of generating 6 Ton/hr steam, at a design pressure of 10.54 kg/cm2 and design temperature of 185oC with fuel source as briquetted Biomass made from mechanical treatment of agricultural wastes like Groundnut shells, etc.
The prime objective of the project activity is to produce process steam through renewable energy sources. </t>
  </si>
  <si>
    <t>Yes</t>
  </si>
  <si>
    <t>String</t>
  </si>
  <si>
    <t>No</t>
  </si>
  <si>
    <t>ActivityImpactModule.projectScope</t>
  </si>
  <si>
    <t>Sectoral Scope</t>
  </si>
  <si>
    <t>Sectoral scope(s): 01</t>
  </si>
  <si>
    <t>ActivityImpactModule.projectType</t>
  </si>
  <si>
    <t>Project Type</t>
  </si>
  <si>
    <t>Type I: Renewable energy</t>
  </si>
  <si>
    <t>Type of Activity</t>
  </si>
  <si>
    <t>The project activity is a ‘Renewable energy project’ which has an output capacity less than 15 megawatts equivalent</t>
  </si>
  <si>
    <t>ActivityImpactModule.projectScale</t>
  </si>
  <si>
    <t>Project Scale</t>
  </si>
  <si>
    <t>Small</t>
  </si>
  <si>
    <t>Select One</t>
  </si>
  <si>
    <t>ActivityImpactModule.GeographicLocation.latitude</t>
  </si>
  <si>
    <t>Project Location Latitude</t>
  </si>
  <si>
    <t>55.7658° W</t>
  </si>
  <si>
    <t>ActivityImpactModule.GeographicLocation.longitude</t>
  </si>
  <si>
    <t>Project Location Longitude</t>
  </si>
  <si>
    <t>32.5228° S</t>
  </si>
  <si>
    <t>ActivityImpactModule.GeographicLocation.geoJsonOrKml</t>
  </si>
  <si>
    <t>Project Location GeoJSON (GeoJSON supports the following geometry types: Point, LineString, Polygon, MultiPoint, MultiLineString, MultiPolygon.)</t>
  </si>
  <si>
    <t>[-32.5228, -55.7658]</t>
  </si>
  <si>
    <t>Project Eligibility</t>
  </si>
  <si>
    <t>As per the “CDM-EB07-A04-GLOS- Glossary Of the CDM Terms” Version 09.0.0, Annex 1, EB 941SSC CDM project activity is “A measure, operation or action that aims to reduce GHG emissions, whether as a whole project or as a component of a project, in one of the following categories: (a)Type I project activities: Renewable energy project activities which have an output capacity up to 15 megawatts (or an appropriate equivalent), in accordance with the CDM rules and requirements;  (b)Type II project activities: Energy efficiency improvement project activities which reduce energy consumption, on the supply and/or demand side, to a maximum output of 60 GWh per year (or an appropriate equivalent) in accordance with the CDM rules and requirements; (c) Type III project activities: SSC CDM project activities other than Type I and Type II project activities that result in emission reductions of less than or equal to 60kt carbon dioxide equivalent annually, in accordance with the CDM rules and requirements”.</t>
  </si>
  <si>
    <t>AccountableImpactOrganization.name</t>
  </si>
  <si>
    <t>Project Participant Organization Name</t>
  </si>
  <si>
    <t>J.N.P. Products</t>
  </si>
  <si>
    <t>Project Participant Contact Person</t>
  </si>
  <si>
    <t xml:space="preserve">John Doe </t>
  </si>
  <si>
    <t>Name</t>
  </si>
  <si>
    <t xml:space="preserve">Project Participant Title </t>
  </si>
  <si>
    <t xml:space="preserve">Owner </t>
  </si>
  <si>
    <t>AccountableImpactOrganization.addresses</t>
  </si>
  <si>
    <t xml:space="preserve">Project Participant Address </t>
  </si>
  <si>
    <t>Uruguay</t>
  </si>
  <si>
    <t>Address</t>
  </si>
  <si>
    <t xml:space="preserve">Project Participant Telephone </t>
  </si>
  <si>
    <t>555-123-4567</t>
  </si>
  <si>
    <t>Phone Number</t>
  </si>
  <si>
    <t>Project Participant Email</t>
  </si>
  <si>
    <t>j.doe@yahoo.net</t>
  </si>
  <si>
    <t>Email</t>
  </si>
  <si>
    <t>Participation under other GHG Programs</t>
  </si>
  <si>
    <t>Other Forms of Environmental Credit</t>
  </si>
  <si>
    <t>QualityStandard.methodologyAndTools</t>
  </si>
  <si>
    <t>Title and Reference of Methodologies</t>
  </si>
  <si>
    <t>AMS-I.C Version 22.0 - Thermal energy production with or without electricity</t>
  </si>
  <si>
    <t xml:space="preserve">Select all that apply </t>
  </si>
  <si>
    <t>ActivityImpactModule.projectStartDate</t>
  </si>
  <si>
    <t>Project Start Date</t>
  </si>
  <si>
    <t xml:space="preserve">Date  </t>
  </si>
  <si>
    <t>ActivityImpactModule.projectCreditingPeriod</t>
  </si>
  <si>
    <t>Crediting Period</t>
  </si>
  <si>
    <t>01/01/2018-12/31/2027</t>
  </si>
  <si>
    <t>Date Range</t>
  </si>
  <si>
    <t>ActivityImpactModule.projectMonitoringPeriod</t>
  </si>
  <si>
    <t>Monitoring Period</t>
  </si>
  <si>
    <t>Monitoring Plan</t>
  </si>
  <si>
    <t xml:space="preserve">Data and parameters monitored based on the requirements of AMS-I.C Version 22.0 - Thermal energy production with or without electricity.  </t>
  </si>
  <si>
    <t>Compliance with Laws, Statutes and Other Regulatory Frameworks</t>
  </si>
  <si>
    <t>The project participant herein determines the relevant project activities are in compliance with all mandatory applicable legal and regulatory requirements.</t>
  </si>
  <si>
    <t>CoBenefit.unSdg</t>
  </si>
  <si>
    <t>Sustainable development</t>
  </si>
  <si>
    <t>SDG 3, SDG 13</t>
  </si>
  <si>
    <t>Further Information</t>
  </si>
  <si>
    <t>N/A</t>
  </si>
  <si>
    <t xml:space="preserve">Applicability and Additionality </t>
  </si>
  <si>
    <t xml:space="preserve">Does the project involve renewable energy technologies that supply users i.e. residential, industrial or commercial facilities with thermal energy that displaces fossil fuel use?  </t>
  </si>
  <si>
    <t xml:space="preserve">Does the project involve biomass-based cogeneration and trigeneration systems? </t>
  </si>
  <si>
    <t xml:space="preserve">Select the applicable activities/emission reductions resulting from biomass cogeneration or trigeneration system. </t>
  </si>
  <si>
    <t xml:space="preserve">Do the project activities seek to retrofit or modify an existing facility for renewable energy generation? </t>
  </si>
  <si>
    <t xml:space="preserve">Do the project activities seek to retrofit or modify an existing facility to enhance the energy conversion efficiency? </t>
  </si>
  <si>
    <t xml:space="preserve">Do the project activities seek to retrofit or modify an existing facility for the purpose of fuel switch from fossil fuels to biomass in heat generation equipment? </t>
  </si>
  <si>
    <t xml:space="preserve">Does the project involve new facilities (Greenfield projects) and/or capacity additions? </t>
  </si>
  <si>
    <t xml:space="preserve">What is the total installed/rated thermal energy generation capacity of the project equipment? </t>
  </si>
  <si>
    <t>Number</t>
  </si>
  <si>
    <t xml:space="preserve">Do the project activities involve the use of solid biomass fuel (e.g., briquette)? </t>
  </si>
  <si>
    <t xml:space="preserve">Is the project participant not the producer of the processed solid biomass fuel? </t>
  </si>
  <si>
    <t xml:space="preserve">Is the electricity and/or thermal energy produced by the project activity delivered to a third party i.e. another facility or facilities within the project boundary? </t>
  </si>
  <si>
    <t xml:space="preserve">Do the project activities recover and utilize biogas for producing electricity and/or thermal energy and apply this methodology on a standalone basis, i.e., without using a Type III component of an SSC methodology? </t>
  </si>
  <si>
    <t>If project equipment contains refrigerants, does the refrigerant used in the project have no ozone depleting potential (ODP).</t>
  </si>
  <si>
    <t xml:space="preserve">Do the project activities involve charcoal-based biomass energy generation? </t>
  </si>
  <si>
    <t xml:space="preserve">Is the charcoal produced from renewable biomass sources? </t>
  </si>
  <si>
    <t xml:space="preserve">Is the charcoal produced in kilns equipped with methane recovery and destruction facility? </t>
  </si>
  <si>
    <t xml:space="preserve">Will the project activities utilize biomass and/or biomass residues? </t>
  </si>
  <si>
    <t>Applicability</t>
  </si>
  <si>
    <t>Auto-calculation</t>
  </si>
  <si>
    <t>Additionality</t>
  </si>
  <si>
    <t>Additional Requirements</t>
  </si>
  <si>
    <t xml:space="preserve">Baseline Emissions </t>
  </si>
  <si>
    <t xml:space="preserve">Do the project activities involve producing both electricity and thermal energy? </t>
  </si>
  <si>
    <t xml:space="preserve">Select the applicable baseline scenario. </t>
  </si>
  <si>
    <t>C. A combination of A and B.</t>
  </si>
  <si>
    <t xml:space="preserve">Will the project  activities be implemented in existing facilities? </t>
  </si>
  <si>
    <t xml:space="preserve">Does the existing facility have reliable operational data/information such as efficiency, energy consumption and output? </t>
  </si>
  <si>
    <t xml:space="preserve">Is the baseline scenario a cogeneration or trigeneration plant (e.g. using a steam turbine and steam generator that would have been built in the absence of the project activity)? </t>
  </si>
  <si>
    <t xml:space="preserve">Does the baseline scenario involve household or commercial applications/systems, whose maximum output capacity is less than 45 kW thermal and where it can be demonstrated that the metering of thermal energy output is not plausible? </t>
  </si>
  <si>
    <t xml:space="preserve">Do the project activities involve new renewable energy units? </t>
  </si>
  <si>
    <t>Baseline emissions for electricity produced in captive plants</t>
  </si>
  <si>
    <t>𝐸𝐺𝑐𝑎𝑝𝑡𝑒𝑙𝑒𝑐,𝑃𝐽,y</t>
  </si>
  <si>
    <t>Amount of electricity produced by the project activity during the year y (MWh)</t>
  </si>
  <si>
    <t>𝐸𝐹bl,ff,co2</t>
  </si>
  <si>
    <t>CO2 emission factor of the fossil fuel that would have been used in the baseline plant (t CO2/MWh)</t>
  </si>
  <si>
    <t xml:space="preserve">"Table. Default baseline efficiency values for different technologies" contains the defaults for the user's reference. </t>
  </si>
  <si>
    <t>Nbl,𝑐𝑎𝑝𝑡𝑖𝑣𝑒 𝑝𝑙𝑎𝑛t</t>
  </si>
  <si>
    <t xml:space="preserve">Efficiency of the plant using fossil fuel that would have been used in the absence of the project activity </t>
  </si>
  <si>
    <t xml:space="preserve">Depending on the questionnaire responses, this may be either a referenced parameter from tool 09, or a user input number guided by help text. See if/then logic in the schema type and help text cells. </t>
  </si>
  <si>
    <t>𝐵𝐸𝑐𝑎𝑝𝑡𝑒𝑙𝑒𝑐,y</t>
  </si>
  <si>
    <t>Baseline emissions from electricity displaced by the project activity during the year y (t CO2)</t>
  </si>
  <si>
    <t>Baseline emissions for supply of electricity to and/or displacement of electricity from a grid</t>
  </si>
  <si>
    <t>𝐸𝐺𝑔𝑟𝑖𝑑,y</t>
  </si>
  <si>
    <t>Amount of grid electricity displaced by project in year y (MWh)</t>
  </si>
  <si>
    <t>𝐸𝐹𝑔𝑟𝑖𝑑,y</t>
  </si>
  <si>
    <t>Emission factor of the grid (t CO2e/MWh)</t>
  </si>
  <si>
    <t>𝐵𝐸𝑔𝑟𝑖𝑑,y</t>
  </si>
  <si>
    <t>Baseline emissions for supply of electricity to and/or displacement of electricity from a grid (t CO2)</t>
  </si>
  <si>
    <t>Baseline emissions from thermal energy displaced by the project activity</t>
  </si>
  <si>
    <t>𝐸𝐺𝑡ℎ𝑒𝑟𝑚𝑎𝑙,y</t>
  </si>
  <si>
    <t>Net quantity of thermal energy supplied by the project activity during the year y (TJ)</t>
  </si>
  <si>
    <t>𝐸𝐹ff,co2</t>
  </si>
  <si>
    <t>CO2 emission factor of the fossil fuel that would have been used in the baseline plant obtained from reliable local or national data if available, alternatively, IPCC default emission factors can be used (t CO2/TJ)</t>
  </si>
  <si>
    <t>Nbl,𝑡ℎ𝑒𝑟𝑚𝑎l</t>
  </si>
  <si>
    <t>Efficiency of the plant using fossil fuel that would have been used in the absence of the project activity</t>
  </si>
  <si>
    <t xml:space="preserve">Depending on the questionnaire responses, this may be either a referenced parameter from tool 09, or a user input number guided by help text.   See if/then logic in the schema type and help text cells. </t>
  </si>
  <si>
    <t>𝐵𝐸𝑡ℎ𝑒𝑟𝑚𝑎𝑙,𝐶𝑜2,y</t>
  </si>
  <si>
    <t>Baseline emissions from thermal energy displaced by the project activity during the year y (t CO2)</t>
  </si>
  <si>
    <t>Baseline emissions from electricity and thermal energy displaced by the project activity</t>
  </si>
  <si>
    <t>𝐸𝐺pj,𝑒𝑙𝑒𝑐𝑡𝑟𝑖𝑐𝑎𝑙,y</t>
  </si>
  <si>
    <t>Amount of electricity supplied by the project activity during the year y; (GWh)</t>
  </si>
  <si>
    <t>𝐸𝐺pj,tℎ𝑒𝑟𝑚𝑎𝑙,y</t>
  </si>
  <si>
    <t>CO2 emission factor of the fossil fuel that would have been used in the baseline cogeneration plant obtained from reliable local or national data if available, alternatively, IPCC default emission factors can be used (t CO2/TJ)</t>
  </si>
  <si>
    <t xml:space="preserve">Nbl,𝑐𝑜𝑔𝑒𝑛/𝑡𝑟𝑖𝑔𝑒𝑛 </t>
  </si>
  <si>
    <t xml:space="preserve">Total annual average efficiency of the cogeneration or trigeneration plant using fossil fuel </t>
  </si>
  <si>
    <t>𝐵𝐸𝑐𝑜𝑔𝑒𝑛/𝑡𝑟𝑖𝑔𝑒𝑛,𝐶𝑂2,y</t>
  </si>
  <si>
    <t>Baseline emissions from electricity and thermal energy displaced by the project activity (t CO2)</t>
  </si>
  <si>
    <t>Baseline emissions for co-fired systems</t>
  </si>
  <si>
    <t>𝐸𝐺𝑐𝑜𝑓𝑖𝑟𝑒,𝑃𝐽,y</t>
  </si>
  <si>
    <t>Net quantity of energy (electricity/thermal) supplied by the project activity during the year y (TJ)</t>
  </si>
  <si>
    <t>𝐸𝐹𝑐𝑜𝑓𝑖𝑟𝑒,𝐶𝑂2</t>
  </si>
  <si>
    <t>CO2 emission factor of the baseline co-fired plant established using three years’ average historical data (t CO2/TJ)</t>
  </si>
  <si>
    <t>Nbl,𝑐𝑜𝑓𝑖𝑟e</t>
  </si>
  <si>
    <t xml:space="preserve">Efficiency of the co-fired plant that would have been used in the absence of the project activity </t>
  </si>
  <si>
    <t>𝐵𝐸𝑐𝑜𝑓𝑖𝑟𝑒,co2,y</t>
  </si>
  <si>
    <t>Baseline emissions from thermal and/or electrical energy displaced by the project activity during the year y (t CO2e)</t>
  </si>
  <si>
    <t>Baseline emissions for trigeneration systems</t>
  </si>
  <si>
    <t>Baseline emissions associated with the grid electricity displaced by the project in year y (t CO2e)</t>
  </si>
  <si>
    <t xml:space="preserve">Chiller Name </t>
  </si>
  <si>
    <t>Chiller 1</t>
  </si>
  <si>
    <t>𝐶𝑂𝑃𝑐,i</t>
  </si>
  <si>
    <t>Coefficient of Performance (COP) of the baseline scenario chiller(s) i (MWhth/MWhe). The COP  estimated as ‘cooling output divided by electricity input’</t>
  </si>
  <si>
    <t xml:space="preserve">Depending on the questionnaire responses, this may be either a referenced parameter from tool 09, or a user input number guided by help text.  See if/then logic in the schema type and help text cells. </t>
  </si>
  <si>
    <t>𝐶𝑃,𝑖,y</t>
  </si>
  <si>
    <t>Cooling output of baseline scenario chiller(s) i in year y (MWhth)</t>
  </si>
  <si>
    <t>𝐶𝑃,𝑖,y [Supporting Doc]</t>
  </si>
  <si>
    <t>Provide the supporting documentation for equation 8  [Cooling output of baseline scenario chiller(s) i in year y (MWhth)]</t>
  </si>
  <si>
    <t>Document upload</t>
  </si>
  <si>
    <t xml:space="preserve">[Click to add chiller] </t>
  </si>
  <si>
    <t>Chiller 2</t>
  </si>
  <si>
    <t>Only required if the user clicks to add chiller</t>
  </si>
  <si>
    <t xml:space="preserve">Only required if the user clicks to add chiller. Depending on the questionnaire responses, this may be either a referenced parameter from tool 09, or a user input number guided by help text.   See if/then logic in the schema type and help text cells. </t>
  </si>
  <si>
    <t>𝐵Ebc,y</t>
  </si>
  <si>
    <t>Baseline emissions associated with the cooling (e.g. chilled water) produced in year y (t CO2e)</t>
  </si>
  <si>
    <t>Plus (CP,i,y/COPi,i) for each chiller added</t>
  </si>
  <si>
    <t>𝐵𝐸bh,y</t>
  </si>
  <si>
    <t>Baseline emissions associated with the heat (e.g. steam or hot water) produced in year y (t CO2e)</t>
  </si>
  <si>
    <t xml:space="preserve">𝐵𝐸bh,y [Supporting Doc] </t>
  </si>
  <si>
    <t xml:space="preserve">Provide the supporting documentation for equation 9  [Baseline emissions associated with the heat (t CO2e)] </t>
  </si>
  <si>
    <t>BEy</t>
  </si>
  <si>
    <t xml:space="preserve">Baseline emissions </t>
  </si>
  <si>
    <t>Baseline emissions for project activities involving new renewable energy units</t>
  </si>
  <si>
    <t xml:space="preserve">Do the project activities involve the addition of renewable energy units at an existing renewable energy production facility, where the existing and new units share the use of common and limited renewable resources (e.g. biomass residues)? </t>
  </si>
  <si>
    <t xml:space="preserve">Select One </t>
  </si>
  <si>
    <t xml:space="preserve">Do the project activities involve the addition of new energy production units (e.g. turbines) at an existing facility? </t>
  </si>
  <si>
    <t xml:space="preserve">Will the existing units be shut down, be derated, or otherwise become limited in production under the project scenario? </t>
  </si>
  <si>
    <t xml:space="preserve">Will the existing units be subject to modifications or retrofits that increase production? </t>
  </si>
  <si>
    <t>𝐸𝐺𝑡ℎ𝑒𝑟𝑚𝑎𝑙,𝑃𝐽,y</t>
  </si>
  <si>
    <t>Total actual thermal energy produced in year y by all units, existing and new project units (TJ)</t>
  </si>
  <si>
    <t xml:space="preserve">Number </t>
  </si>
  <si>
    <t>𝐸𝐺𝑡ℎ𝑒𝑟𝑚𝑎𝑙,𝑎𝑐𝑡𝑢𝑎𝑙,y</t>
  </si>
  <si>
    <t>Actual, measured thermal energy production of the existing units in year y (TJ)</t>
  </si>
  <si>
    <t>𝐸𝐺𝑡ℎ𝑒𝑟𝑚𝑎𝑙,𝑒𝑠𝑡𝑖𝑚𝑎𝑡𝑒𝑑,y</t>
  </si>
  <si>
    <t>Estimated thermal energy that would have been produced by the existing units under the observed availability of the renewable resource for year y (TJ)</t>
  </si>
  <si>
    <t>𝐸𝐺𝑡ℎ𝑒𝑟𝑚𝑎𝑙,𝑜𝑙𝑑,y</t>
  </si>
  <si>
    <t>Estimated thermal energy that would have been produced by existing units (installed before the project activity) in year y in the absence of the project activity (TJ)</t>
  </si>
  <si>
    <t>Auto-calculate</t>
  </si>
  <si>
    <t>𝐸𝐺𝑡ℎ𝑒𝑟𝑚𝑎𝑙,𝑎𝑑𝑑,y</t>
  </si>
  <si>
    <t>Net increase in thermal energy generation at existing plant in year y that should be considered as energy baseline (EGBL) (TJ)</t>
  </si>
  <si>
    <t>Baseline emissions for retrofit project activities</t>
  </si>
  <si>
    <t>𝐸𝐺hy,𝑡ℎ𝑒𝑟𝑚𝑎𝑙,𝑟𝑒𝑡𝑟𝑜𝑓𝑖𝑡,y</t>
  </si>
  <si>
    <t>Average of historical thermal energy levels delivered by the existing facility, spanning all data from the most recent available year (or month, week or other time period) to the time at which the facility was constructed, retrofitted, or modified in a manner that significantly affected output (i.e. by five per cent or more) (TJ)</t>
  </si>
  <si>
    <t>𝐸𝐺𝑒𝑠𝑡𝑖𝑚𝑎𝑡𝑒𝑑,𝑡ℎ𝑒𝑟𝑚𝑎𝑙,y</t>
  </si>
  <si>
    <t>Estimated thermal energy that would have been produced by the existing units under the observed availability of renewable resources in year y (TJ)</t>
  </si>
  <si>
    <t>𝐷𝐴𝑇𝐸𝐵𝑎𝑠𝑒𝑙𝑖𝑛𝑒𝑅𝑒𝑡𝑟𝑜𝑓𝑖t</t>
  </si>
  <si>
    <t>Date at which the existing generation facility is likely to be replaced or retrofitted in the absence of the CDM project activity</t>
  </si>
  <si>
    <t xml:space="preserve">Date </t>
  </si>
  <si>
    <t xml:space="preserve">𝐸𝐺𝐵𝐿,𝑡ℎ𝑒𝑟𝑚𝑎𝑙,𝑟𝑒𝑡𝑟𝑜𝑓𝑖𝑡,𝑦 </t>
  </si>
  <si>
    <t>Thermal energy production by an existing facility in the absence of the project activity in year y (TJ)</t>
  </si>
  <si>
    <t>In the absence of the CDM project activity, the existing facility would continue to provide thermal energy EGBL,thermal,retrofit,y at historical average levels EGHY,thermal,retrofit,y, until the time at which the thermal energy facility would be likely to be replaced or retrofitted in the absence of the CDM project activity (DATEBaselineRetrofit). From that point of time onwards, the baseline scenario is assumed to correspond to the project activity, and baseline thermal energy production is assumed to equal project thermal energy production and no emission reductions are assumed to occur.</t>
  </si>
  <si>
    <t>𝐸𝐺𝑡ℎ𝑒𝑟𝑚𝑎𝑙,𝑟𝑒𝑡𝑟𝑜𝑓𝑖𝑡,y</t>
  </si>
  <si>
    <t>Thermal energy supplied by the project activity (after retrofit) in year y (TJ)</t>
  </si>
  <si>
    <t>𝐸𝐹ff,𝐶𝑂2</t>
  </si>
  <si>
    <t>CO2 emission factor of the fossil fuel that would have been used in the baseline plant to generate the incremental energy obtained from reliable local or national data if available, alternatively, IPCC default emission factors can be used (t CO2/TJ)</t>
  </si>
  <si>
    <t>𝐵𝐸𝑟𝑒𝑡𝑟𝑜𝑓𝑖𝑡,𝐶𝑂2,y</t>
  </si>
  <si>
    <t>Baseline emissions from the incremental thermal energy supplied due to retrofit (t CO2)</t>
  </si>
  <si>
    <t>Baseline emissions for project activities with capacity less than 45 kW thermal</t>
  </si>
  <si>
    <t>𝐵𝑏𝑖𝑜𝑚𝑎𝑠𝑠,𝑃𝐽,y</t>
  </si>
  <si>
    <t>Net quantity of the biomass consumed in year y (tonnes)</t>
  </si>
  <si>
    <t>𝑁𝐶𝑉𝑏𝑖𝑜𝑚𝑎𝑠s</t>
  </si>
  <si>
    <t>Net calorific value of the biomass (TJ/tonnes)</t>
  </si>
  <si>
    <t>Npj</t>
  </si>
  <si>
    <t xml:space="preserve">Efficiency of the project equipment </t>
  </si>
  <si>
    <t>𝐻𝐺𝑃𝐽,y</t>
  </si>
  <si>
    <t>Net quantity of thermal energy supplied by the project activity using renewable biomass during the year y (TJ)</t>
  </si>
  <si>
    <t>Nbl</t>
  </si>
  <si>
    <t xml:space="preserve">Efficiency of the baseline equipment being replaced </t>
  </si>
  <si>
    <t>CO2 emission factor of the fossil fuel that would have been used in the baseline (t CO2/TJ)</t>
  </si>
  <si>
    <t>𝐵𝐸y</t>
  </si>
  <si>
    <t>Baseline emissions from thermal energy displaced by the project activity using renewable biomass during the year y (t CO2)</t>
  </si>
  <si>
    <t>Ex ante estimations</t>
  </si>
  <si>
    <t xml:space="preserve">Explain the quantities and types of biomass and the biomass to fossil fuel ratio (in the case of cofired systems) to be used during the crediting period. </t>
  </si>
  <si>
    <t xml:space="preserve">Document the quantities and types of biomass and the biomass to fossil fuel ratio (in the case of cofired systems) to be used during the crediting period. </t>
  </si>
  <si>
    <t>Project emissions</t>
  </si>
  <si>
    <t xml:space="preserve">Will the project activities involve thermal energy? </t>
  </si>
  <si>
    <t xml:space="preserve">Will the project activities involve trigeneration systems or otherwise use refrigerants? </t>
  </si>
  <si>
    <t>Emissions from fuel combustion</t>
  </si>
  <si>
    <t>𝑃𝐸ff,y</t>
  </si>
  <si>
    <t>Project emissions from fossil fuel consumption during the year y (t CO2)</t>
  </si>
  <si>
    <t>Referenced Parameter</t>
  </si>
  <si>
    <t>Emissions from electricity consumption</t>
  </si>
  <si>
    <t>𝑃𝐸e𝑐,y</t>
  </si>
  <si>
    <t>Project emissions from electricity consumption during the year y (t CO2)</t>
  </si>
  <si>
    <t>Emissions from geothermal project activities</t>
  </si>
  <si>
    <t xml:space="preserve">Do the project activities involve fugitive emissions of carbon dioxide and methane due to release of non-condensable gases from produced steam? </t>
  </si>
  <si>
    <t>Do the project activities involve carbon dioxide emissions resulting from combustion of fossil fuels related to the operation of the geothermal power plant</t>
  </si>
  <si>
    <t>𝑤𝑀𝑎𝑖𝑛,co2</t>
  </si>
  <si>
    <t>Average mass fraction of carbon dioxide in the produced steam (nondimensional)</t>
  </si>
  <si>
    <t>𝑤𝑀𝑎𝑖𝑛,ch4</t>
  </si>
  <si>
    <t>Average mass fraction of methane in the produced steam (nondimensional)</t>
  </si>
  <si>
    <t>𝐺𝑊𝑃ch4</t>
  </si>
  <si>
    <t>Global warming potential of methane valid for the relevant commitment period (t CO2e/t CH4)</t>
  </si>
  <si>
    <t>𝑀𝑠,y</t>
  </si>
  <si>
    <t>Quantity of steam produced during the year y (tonnes)</t>
  </si>
  <si>
    <t>𝑃𝐸𝑠,y</t>
  </si>
  <si>
    <t>Project emissions of carbon dioxide and methane due to the release of non-condensable gases from the steam produced in the geothermal power plant in year y (t CO2)</t>
  </si>
  <si>
    <t xml:space="preserve">Process Name </t>
  </si>
  <si>
    <t>Process 1</t>
  </si>
  <si>
    <t>𝑃𝐸𝐹𝐶,𝑗,y</t>
  </si>
  <si>
    <t xml:space="preserve">CO2 emissions from fossil fuel combustion in process j during the year y (t CO2) </t>
  </si>
  <si>
    <t>Project emissions from combustion of fossil fuels related to the operation of the geothermal power plant in year y (t CO2)</t>
  </si>
  <si>
    <t>[Click to add Process]</t>
  </si>
  <si>
    <t>Process 2</t>
  </si>
  <si>
    <t>Only required if the user clicks to add process</t>
  </si>
  <si>
    <t>𝑃𝐸𝐺𝑒𝑜,y</t>
  </si>
  <si>
    <t>Project emissions from a geothermal project activity in year y (t CO2)</t>
  </si>
  <si>
    <t>𝑃𝐸𝑠,y plus the sum of PEff,y for all processes added</t>
  </si>
  <si>
    <t>Project emissions from use of refrigerant</t>
  </si>
  <si>
    <t xml:space="preserve">Is this the first year of the monitoring period? </t>
  </si>
  <si>
    <t>Please select which option you will use for determining the quantity of refrigerant used in year y to replace refrigerant that has leaked in year y (tonnes)</t>
  </si>
  <si>
    <t>Option B</t>
  </si>
  <si>
    <t>The monitored quantity of refrigerant used for top-up to compensate for the leaked quantity during the year y</t>
  </si>
  <si>
    <t>The typical refrigerant leakage rate for the type of cooling equipment</t>
  </si>
  <si>
    <t>𝑄𝑟𝑒𝑓,pj,𝑠𝑡𝑎𝑟t</t>
  </si>
  <si>
    <t>Quantity of refrigerant charge in new cooling equipment at its start of operation (tonnes)</t>
  </si>
  <si>
    <t>𝑄𝑟𝑒𝑓,pj,y</t>
  </si>
  <si>
    <t>Quantity of refrigerant used in year y to replace refrigerant that has leaked in year y (tonnes)</t>
  </si>
  <si>
    <t>𝐺𝑊𝑃𝑟𝑒𝑓,pj</t>
  </si>
  <si>
    <t>Global warming potential of the refrigerant that is used in new cooling equipment (t CO2e/t refrigerant)</t>
  </si>
  <si>
    <t>𝑃𝐸𝑟𝑒𝑓,1</t>
  </si>
  <si>
    <t>Project emissions from physical leakage of refrigerant from new cooling equipment in year y (t CO2e)</t>
  </si>
  <si>
    <t>𝑃𝐸𝑟𝑒𝑓,y</t>
  </si>
  <si>
    <t>Project emissions from use of refrigerant in project activity in year y (t CO2)</t>
  </si>
  <si>
    <t>Project emissions associated with biomass and biomass residues</t>
  </si>
  <si>
    <t>𝑃𝐸biomass,y</t>
  </si>
  <si>
    <t>Project emissions associated with biomass and biomass residues in year y (t CO2e)</t>
  </si>
  <si>
    <t xml:space="preserve">Leakage </t>
  </si>
  <si>
    <t xml:space="preserve">Will energy generating equipment currently being utilized be transferred from outside the boundary to the project activity? </t>
  </si>
  <si>
    <t xml:space="preserve">Will refrigerants that are a greenhouse gas as defined in annex A of the Kyoto Protocol or in paragraph 1 of the Convention be displaced and not destroyed?  </t>
  </si>
  <si>
    <t>Leakage emissions from energy generating equipment currently being utilized being transferred from outside the boundary to the project activity in year y (t CO2)</t>
  </si>
  <si>
    <t>Leakage emissions from refrigerant storage or usage in equipment in year y (t CO2)</t>
  </si>
  <si>
    <t>LEbiomass,y</t>
  </si>
  <si>
    <t>Leakage Emissions (LE) from Biomass</t>
  </si>
  <si>
    <t xml:space="preserve">Justify the omission of leakage emissions due to shift of pre-project activities resulting from cultivation of biomass in a dedicated plantation (LEbc,y). </t>
  </si>
  <si>
    <t xml:space="preserve">Justify the omission of leakage emissions due to diversion of biomass residues from other
applications (LEbr,div,y). </t>
  </si>
  <si>
    <t xml:space="preserve">Justify the omission of leakage emissions due to the transportation of biomass residues outside
of the project boundary (LEbrt,y).  </t>
  </si>
  <si>
    <t xml:space="preserve">Justify the omission of leakage emissions due to  processing of biomass residues outside the
project boundary (LEbrp,y).  </t>
  </si>
  <si>
    <t xml:space="preserve">Emission Reductions </t>
  </si>
  <si>
    <t>ImpactClaimCheckpoint.efBefore</t>
  </si>
  <si>
    <t>Baseline emissions in year y (t CO2e)</t>
  </si>
  <si>
    <t>ImpactClaimCheckpoint.efAfter</t>
  </si>
  <si>
    <t>𝑃𝐸y</t>
  </si>
  <si>
    <t>Project emissions from the project activity during the year y (t CO2)</t>
  </si>
  <si>
    <t>LEy</t>
  </si>
  <si>
    <t>Emission reductions in year y (t CO2e)</t>
  </si>
  <si>
    <t>ImpactClaim.quantity</t>
  </si>
  <si>
    <t>𝐸𝑅y</t>
  </si>
  <si>
    <t>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t>
  </si>
  <si>
    <t xml:space="preserve">Help Text: In the case of an existing baseline cogeneration or trigeneration plant, the efficiency shall be calculated as the total annual energy produced using the historical data or a performance test/measurement campaign as prescribed below (total electricity generated and total thermal energy extracted divided by the thermal energy value of the fuel use). Baseline calculations shall be based on operational data on energy use (e.g. electricity, fossil fuel) and plant output (e.g. thermal and/or electrical energy) using: a. Most recent three years’ operational data immediately prior to the start date of the project activity in case of existing facilities which have more than three years of operation history; b. A minimum of most recent one-year data in case of existing facilities which have more than three years of operation history but do not have three years’ operational data. In the case where multiple chillers exist, average performance data shall be used in a conservative manner with consideration of the historic output and power consumption of each chiller. </t>
  </si>
  <si>
    <t>Help Text: In the case of a Greenfield project cogeneration or trigeneration plant where the baseline is a cogeneration or trigeneration plant (e.g. using a steam turbine and steam generator that would have been built in the absence of the project activity), the total annual average efficiency of the cogeneration or trigeneration plant using fossil fuel shall be defined as the ratio of thermal energy and electricity produced to total thermal energy value of the fuel use. This ratio shall be determined using one of the two following options (in preferential order):
(a) Calculated as a single value with consideration of the following: (i) Step 1: a. The total annual average efficiency of the cogeneration or trigeneration plant using fossil fuel is determined using documented efficiency specification for new steam turbines and steam generators provided by two or more manufacturers for each type of such equipment within in the region; b. Efficiency values for the steam turbine(s) and steam generator(s) shall be based on turbines and steam generators with specifications nearly equivalent to baseline units that would have been utilized in the absence of the project activity; c. The efficiency values utilized shall be the highest individual efficiency values (over the full range of expected operating conditions of the baseline cogeneration or trigeneration system) that can be achieved by the steam turbine(s) and steam generator(s). (ii) Step 2: a. The total annual average efficiency of the cogeneration or trigeneration plant using fossil fuel is then calculated as the product of the highest efficiency value for the steam turbine(s) and the highest efficiency value of the steam generator(s), assuming both efficiencies are in the form of a percentage of output per input. 
(b) Calculated as a single value with consideration of the following: (i) Step 1: a. A default steam turbine efficiency of 100 per cent; b. Default steam generator efficiency determined using the values provided in appendix (see Table. Default baseline efficiency values for different technologies); (ii) Step 2: a. The total annual average efficiency of the cogeneration or trigeneration plant using fossil fuel is then calculated as the product of the efficiency value for the steam turbine(s) and the efficiency value of the steam generator(s), assuming both efficiencies are in the form of a percentage of output per input.</t>
  </si>
  <si>
    <t>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t>
  </si>
  <si>
    <t>Help Text: For household or commercial applications/systems, whose maximum output capacity is less than 45 kW thermal and where it can be demonstrated that the metering of thermal energy output is not plausible, as in the case of cooking stoves, gasifiers, driers, water heaters etc., efficiency of the baseline units shall be determined by adopting one of the following criteria: (a) Highest measured operational efficiency over the full range of operating conditions of a representative sample of units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Highest efficiency from referenced literature values or default efficiency of 100 per cent.</t>
  </si>
  <si>
    <t xml:space="preserve">Help Text: If the baseline scenario is a chiller or chillers that would have been built (i.e. not existing chillers), the COP shall be determined as the highest COP full load performance value provided by two or more manufacturers for chillers commonly sold in the project country for the indicated commercial application. </t>
  </si>
  <si>
    <t>Help Text: The potential for the project activity to reduce the amount of renewable resource available to, and thus thermal energy production by, existing units must be considered in the determination of baseline emissions, project emissions, and/or leakage, as relevant.</t>
  </si>
  <si>
    <t>Help Text: If the existing units shut down are derated, or otherwise become limited in production, the project activity should not get credit for generating thermal energy from the same renewable resources that would have otherwise been used by the existing units (or their replacements). Therefore, the equation for EGthermal,old,y still holds, and the value for EGthermal,estimated,y should continue to be estimated assuming the capacity and operating parameters are the same as that at the time of the start of the project activity.</t>
  </si>
  <si>
    <t>Help Text: If the existing units are subject to modifications or retrofits that increase production, then EGthermal,old,y can be estimated using the procedures described for EGBL,thermal,retrofit,y below.</t>
  </si>
  <si>
    <t>Help Text: For project activities that seek to retrofit or modify an existing facility for the purpose of fuel switch from fossil fuels to biomass in heat generation equipment, the baseline emissions shall be calculated as per equation 3.</t>
  </si>
  <si>
    <t>Help Text: Thermal energy generation capacity shall be manufacturer’s rated thermal energy output, or if that rating is not available the capacity shall be determined by taking the difference between enthalpy of total output (for example steam or hot air or chilled water in kcal/kg or kcal/m3 ) leaving the project equipment and the total enthalpy of input (for example feed water or air in kcal/kg or kcal/m3 ) entering the project equipment. For boilers, condensate return (if any) must be incorporated into enthalpy of the feed. 
A conversion factor of 1:3 shall be used for converting electrical energy to thermal energy. 
For co-fired systems, use the total installed thermal energy generation capacity of the project equipment, when using both fossil and renewable fuel.
For biomass cogeneration and trigeneration units, if the emission reductions of the project activity are on account of thermal and electrical energy production, use the total installed thermal and electrical energy generation capacity of the project equipment.
For biomass cogeneration and trigeneration units, if the emission reductions of the project activity are solely on account of electrical energy production (i.e. no emission reductions accrue from the thermal energy component), the total installed electrical energy generation capacity of the project equipment shall be converted to thermal energy based on a 1:3 ratio (i.e., electrical capacity multiplied by 3). 
Project activities that involve the addition of renewable energy units at an existing renewable energy facility, the total capacity of the units added by the project shall comply with capacity limits specified above, and shall be physically distinct from the existing units.</t>
  </si>
  <si>
    <t>Additional requirements from “General guidelines for SSC CDM methodologies” for Type-II and Type-III Greenfield/capacity expansion project activities apply.</t>
  </si>
  <si>
    <t>It shall be demonstrated that biomass has been produced using solely renewable biomass and all project or leakage emissions associated with its production shall be taken into account in the emissions reduction calculation.</t>
  </si>
  <si>
    <t>The project participant and the producer shall be bound by a contract that shall enable the project participant to monitor the source of the renewable biomass to account for any emissions associated with solid biomass fuel production. The contract shall also ensure that there is no double-counting of emission reductions.</t>
  </si>
  <si>
    <t>A contract between the supplier and consumer(s) of the energy will have to be entered into that ensures there is no double-counting of emission reductions.</t>
  </si>
  <si>
    <t>Any incremental emissions occurring due to the implementation of the project activity (e.g. physical leakage of the anaerobic digester, emissions due to inefficiency of the flaring), shall be taken into account either as project or leakage emissions as per relevant procedures in the tool “Emissions from solid waste disposal sites” and/or “Project emissions from flaring”. In the event that the biomass fuel (solid/liquid/gas) is sourced from an existing CDM project, then the emissions associated with the production of the fuel shall be accounted with that project.</t>
  </si>
  <si>
    <t>Methane emissions from the production of charcoal shall be considered. These emissions shall be calculated as per the procedures defined in the approved methodology “AMS-III.K.: Avoidance of methane release from charcoal production by shifting from traditional open-ended methods to mechanized charcoaling process”. Alternatively, conservative emission factor values from peer reviewed literature or from a registered CDM project activity can be used, provided that it can be demonstrated that the parameters from these are comparable e.g. source of biomass, characteristics of biomass such as moisture carbon content, type of kiln, operating conditions such as ambient temperature.</t>
  </si>
  <si>
    <t>The “TOOL16: Project and leakage emissions from biomass” shall be applied to determine the relevant project emissions from the cultivation of biomass and the utilization of biomass or biomass residues.</t>
  </si>
  <si>
    <t xml:space="preserve">Help Text: Scenario (g) applies to a project activity that installs a new grid connected biomass cogeneration or trigeneration system that produces surplus electricity and this surplus electricity is exported to a grid.
Scenario (i) applies to a project activity that installs a new biomass cogeneration or trigeneration system that displaces electricity which otherwise would have been imported from a grid.
</t>
  </si>
  <si>
    <t xml:space="preserve">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The emission factor of the grid shall be calculated as per the procedures detailed in AMS-I.D. or AMS-I.F. 
For new facilities, the most conservative (lowest) emission factor of the two power sources (captive power plant and grid) should be used. </t>
  </si>
  <si>
    <t>Help Text: Baseline emissions shall be determined based on three years’ average historical data on the relative share of fossil fuel and biomass in the baseline fuel mix. The relative share is determined based on the energy content of each fuel.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new facilities, the most conservative (lowest) emission factor of the two power sources (captive power plant and grid) should be used. 
In the case where more than one fossil fuel is used by the co-fired plant, the weighted average emission factor (in energy basis) among the identified fossil fuels shall be used.</t>
  </si>
  <si>
    <t>Help Text: In order to estimate the point in time when the existing equipment would need to be replaced in the absence of the project activity (DATEBaselineRetrofit), project participants may follow the procedures described in the “General guidelines for SSC CDM methodologies”.</t>
  </si>
  <si>
    <t>Help Text: The requirements concerning demonstration of the remaining lifetime of the replaced equipment shall be met as described in the “General guidelines for SSC CDM methodologies”. If the remaining lifetime of the affected systems increases due to the project activity, the crediting period shall be limited to the estimated remaining lifetime, i.e. the time when the affected systems would have been replaced in the absence of the project activity.</t>
  </si>
  <si>
    <t>Help Text: Measured using representative sampling methods or based on referenced literature values. The efficiency tests shall be conducted following the guidance provided in the relevant national/international standards.</t>
  </si>
  <si>
    <t>Help Text: Enter the sum of all hours in year y.</t>
  </si>
  <si>
    <t xml:space="preserve">Help Text: Fossil fuels required for the operation of equipment related to the on-site or off-site preparation, storage, processing and transporting of fuels and biomass (e.g. for mechanical treatment of the biomass, conveyor belts, driers, pelletization, shredding, briquetting processes, etc.) shall be treated under PEbiomass,y. </t>
  </si>
  <si>
    <t xml:space="preserve">Help Text: Electricity required for the operation of equipment related to the on-site or off-site preparation, storage, processing and transportation of fuels and biomass (e.g. for mechanical treatment of the biomass, conveyor belts, driers, pelletization, shredding, briquetting processes, etc.) shall be treated under PEbiomass,y. </t>
  </si>
  <si>
    <t>Help Text: Option A: using the higher of the two quantities below: (i) The monitored quantity of refrigerant used for top-up to compensate for the leaked quantity during the year y; or (ii) The typical refrigerant leakage rate for the type of cooling equipment as determined from the emission factors (expressed in terms percentage of the initial charge/year) provided in the IPCC 2006 Guidelines, Chapter 7, Table 7.9 “Estimates for charge, lifetime and emissions factors for refrigeration and air conditioning systems”. 
Option B: use a default value of 35 per cent of the initial refrigerant charge, i.e. Qref,PJ,y = 0.35 x Qref,PJ,start.</t>
  </si>
  <si>
    <t>Help Text: The typical refrigerant leakage rate for the type of cooling equipment as determined from the emission factors (expressed in terms percentage of the initial charge/year) provided in the IPCC 2006 Guidelines, Chapter 7, Table 7.9 “Estimates for charge, lifetime and emissions factors for refrigeration and air conditioning systems”.</t>
  </si>
  <si>
    <t>Help Text: The global warming potentials used to calculate the carbon dioxide equivalence of anthropogenic emissions by sources of greenhouse gases not listed in annex A of the Kyoto Protocol, shall be those accepted by the Intergovernmental Panel on Climate Change in its third assessment report.</t>
  </si>
  <si>
    <t xml:space="preserve">Help Text: Calculate the cooling output of baseline scenario chiller(s) i in year y (MWhth) using equation 8 in the methodology and enter here.  </t>
  </si>
  <si>
    <t xml:space="preserve">Help Text: Calculate the baseline emissions associated with the heat (e.g. steam or hot water) produced in year y (t CO2e) using on equation 9 in the methodology and enter here. </t>
  </si>
  <si>
    <t>Baseline scenarios for project activities producing both electricity and thermal energy</t>
  </si>
  <si>
    <t xml:space="preserve">Scale </t>
  </si>
  <si>
    <t>(a) Electricity supply to a grid</t>
  </si>
  <si>
    <t>A. Electricity is imported from a grid and thermal energy is produced using fossil fuel.</t>
  </si>
  <si>
    <t>Option A</t>
  </si>
  <si>
    <t>Micro</t>
  </si>
  <si>
    <t>(b) Electricity and/or thermal energy production for on-site consumption or for consumption by other facilities</t>
  </si>
  <si>
    <t>B. Electricity is produced in an on-site captive power plant using fossil fuel (with a possibility of export to the grid) and thermal energy is produced using fossil fuel.</t>
  </si>
  <si>
    <t>Combination of (a) and (b)</t>
  </si>
  <si>
    <t>Large</t>
  </si>
  <si>
    <t>D. Electricity and thermal energy are produced in a cogeneration or trigeneration unit using fossil fuel (with a possibility of export of electricity to a grid/other facilities and/or thermal energy to other facilities).</t>
  </si>
  <si>
    <t>E. Electricity is imported from a grid and/or produced in an on-site captive power plant using fossil fuels (with a possibility of export to the grid); thermal energy is produced using biomass.</t>
  </si>
  <si>
    <t>F. Electricity is produced in an on-site captive power plant using biomass (with a possibility of export to a grid) and/or imported from a grid; thermal energy is produced using fossil fuel.</t>
  </si>
  <si>
    <t>G. Electricity and thermal energy are produced in a biomass fired cogeneration or trigeneration unit (without a possibility of export of electricity either to a grid or to other facilities and without a possibility of export of thermal energy to other facilities).</t>
  </si>
  <si>
    <t xml:space="preserve">H. Electricity and/or thermal energy produced in a co-fired system. </t>
  </si>
  <si>
    <t>I. Electricity is imported from a grid and/or produced in a biomass fired cogeneration or trigeneration unit (without a possibility of export of electricity either to the grid or to other facilities); thermal energy is produced in a biomass fired cogeneration or trigeneration unit and/or a biomass fired boiler (without a possibility of export of thermal energy to other facilities).</t>
  </si>
  <si>
    <t>J. Electricity is imported from a grid and/or produced in an on-site captive power plant using fossil fuel and thermal energy is produced using electricity.</t>
  </si>
  <si>
    <t>Required Field</t>
  </si>
  <si>
    <t>Multiple Answers</t>
  </si>
  <si>
    <t>Question</t>
  </si>
  <si>
    <t>Answer</t>
  </si>
  <si>
    <t>Notes</t>
  </si>
  <si>
    <t>TOOL 01: For the demonstration and assessment of additionality</t>
  </si>
  <si>
    <t>no</t>
  </si>
  <si>
    <t xml:space="preserve">if/then </t>
  </si>
  <si>
    <t xml:space="preserve">Step 0 : First-of-its-kind project activities </t>
  </si>
  <si>
    <t xml:space="preserve">Is the proposed project activity the first-of-its-kind? </t>
  </si>
  <si>
    <t>If Yes: Project is Additional
If No: Move to Step 1</t>
  </si>
  <si>
    <t>yes</t>
  </si>
  <si>
    <t>string</t>
  </si>
  <si>
    <t>Provide explanation to justify answer.</t>
  </si>
  <si>
    <t>(Explanation/proof)</t>
  </si>
  <si>
    <t>Follow up to previous question.</t>
  </si>
  <si>
    <t>Step 1: Identification of alternatives</t>
  </si>
  <si>
    <t>(1) Have realistic and credible alternative scenario(s) to the project activity been identified?
(2) Are the alternative scenario(s) in compliance with mandatory legislation and regulations (taking into account the enforcement in the region or country and EB decisions on national and/or sectoral policies and regulations)?</t>
  </si>
  <si>
    <t>Yes, Yes</t>
  </si>
  <si>
    <t>If both Yes: then proceed to Step 2 (Investment analysis) or Step 3 (Barrier analysis)
If any No: Project is not additional.</t>
  </si>
  <si>
    <t>Step 2: Investment analysis</t>
  </si>
  <si>
    <t>If Yes: then proceed to Step 4 or to Step 3 if project participent wants to complete both (Optional to complete both Step 2 and 3)
If No: Move to Step 3.</t>
  </si>
  <si>
    <t>Step 3: Barrier analysis</t>
  </si>
  <si>
    <t>(1) Is there at least one barrier preventing the implementation of the proposed project activity without the CDM;
(2) Is at least one alternative scenario, other than proposed CDM project activity, not prevented by any of the identified barriers?</t>
  </si>
  <si>
    <t>If both Yes: then proceed to Step 4
If any No: Project is not additional.</t>
  </si>
  <si>
    <t xml:space="preserve">Step 4: Common practice analysis </t>
  </si>
  <si>
    <t xml:space="preserve">(1) No similar activities can be observed? 
(2) If similar activities are observed, are there essential distinctions between the proposed CDM project activity and similar activities that can reasonably be explained? </t>
  </si>
  <si>
    <t>If both Yes: Project is additional.
If any No: Project is not additional.</t>
  </si>
  <si>
    <t>Flowchart of Tool 1</t>
  </si>
  <si>
    <t xml:space="preserve">Tool 03: Tool to calculate project or leakage CO2 emissions from fossil fuel combustion </t>
  </si>
  <si>
    <t>Auto-Calculated</t>
  </si>
  <si>
    <r>
      <t>PE</t>
    </r>
    <r>
      <rPr>
        <vertAlign val="subscript"/>
        <sz val="18"/>
        <color rgb="FF000000"/>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</si>
  <si>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</si>
  <si>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</si>
  <si>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</si>
  <si>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</si>
  <si>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</si>
  <si>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</si>
  <si>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</si>
  <si>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</si>
  <si>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</si>
  <si>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</si>
  <si>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</si>
  <si>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</si>
  <si>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</si>
  <si>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</si>
  <si>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</si>
  <si>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</si>
  <si>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</si>
  <si>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</si>
  <si>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</si>
  <si>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</si>
  <si>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</si>
  <si>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</si>
  <si>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</si>
  <si>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</si>
  <si>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</si>
  <si>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</si>
  <si>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</si>
  <si>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</si>
  <si>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</si>
  <si>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</si>
  <si>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</si>
  <si>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</si>
  <si>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</si>
  <si>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</si>
  <si>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</si>
  <si>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</si>
  <si>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</si>
  <si>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</si>
  <si>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Volume</t>
  </si>
  <si>
    <t xml:space="preserve">This value will come from cell G32, G33, or G37 depending on the responses from the questionnaire </t>
  </si>
  <si>
    <t xml:space="preserve">Questionnaire </t>
  </si>
  <si>
    <t xml:space="preserve">To which emission category is the tool being applied? </t>
  </si>
  <si>
    <t>Project Emissions (PE)</t>
  </si>
  <si>
    <t>Select one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</si>
  <si>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</si>
  <si>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</si>
  <si>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</si>
  <si>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</si>
  <si>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</si>
  <si>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</si>
  <si>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</si>
  <si>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2 (Estimated)</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</si>
  <si>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</si>
  <si>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</si>
  <si>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</si>
  <si>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</si>
  <si>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</si>
  <si>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</si>
  <si>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</si>
  <si>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</si>
  <si>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</si>
  <si>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</si>
  <si>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</si>
  <si>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</si>
  <si>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</si>
  <si>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Default</t>
  </si>
  <si>
    <t xml:space="preserve">Does the SWDS have a water table above the bottom of the SWDS? </t>
  </si>
  <si>
    <t xml:space="preserve">Select the applicable SWDS condition </t>
  </si>
  <si>
    <t>Anaerobic managed solid waste disposal sites</t>
  </si>
  <si>
    <t>For the methane correction factor (DOCj), will you use a default factor or measure/calculate a project specific value?</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</si>
  <si>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</si>
  <si>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</si>
  <si>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Garden, yard and park waste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</si>
  <si>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</si>
  <si>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</si>
  <si>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</si>
  <si>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</si>
  <si>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</si>
  <si>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Option 2: Uncertainty Analysis</t>
  </si>
  <si>
    <t>a (W)</t>
  </si>
  <si>
    <t>b (DOCj)</t>
  </si>
  <si>
    <t>c (DOCf)</t>
  </si>
  <si>
    <t>d (F)</t>
  </si>
  <si>
    <t>e (MCFy)</t>
  </si>
  <si>
    <r>
      <t>g [e</t>
    </r>
    <r>
      <rPr>
        <vertAlign val="superscript"/>
        <sz val="11"/>
        <color theme="1"/>
        <rFont val="Calibri"/>
        <family val="2"/>
        <scheme val="minor"/>
      </rPr>
      <t>−𝑘𝑗×(𝑦−𝑥)</t>
    </r>
    <r>
      <rPr>
        <sz val="11"/>
        <color theme="1"/>
        <rFont val="Calibri"/>
        <family val="2"/>
        <scheme val="minor"/>
      </rPr>
      <t xml:space="preserve"> × (1 − e</t>
    </r>
    <r>
      <rPr>
        <vertAlign val="superscript"/>
        <sz val="11"/>
        <color theme="1"/>
        <rFont val="Calibri"/>
        <family val="2"/>
        <scheme val="minor"/>
      </rPr>
      <t>−𝑘𝑗</t>
    </r>
    <r>
      <rPr>
        <sz val="11"/>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</si>
  <si>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</si>
  <si>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</si>
  <si>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</si>
  <si>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</si>
  <si>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</si>
  <si>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</si>
  <si>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</si>
  <si>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</si>
  <si>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</si>
  <si>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</si>
  <si>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</si>
  <si>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</si>
  <si>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</si>
  <si>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</si>
  <si>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</si>
  <si>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</si>
  <si>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</si>
  <si>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</si>
  <si>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</si>
  <si>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</si>
  <si>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</si>
  <si>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</si>
  <si>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</si>
  <si>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</si>
  <si>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</si>
  <si>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</si>
  <si>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</si>
  <si>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</si>
  <si>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</si>
  <si>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</si>
  <si>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</si>
  <si>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</si>
  <si>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</si>
  <si>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</si>
  <si>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</si>
  <si>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</si>
  <si>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</si>
  <si>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</si>
  <si>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</si>
  <si>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</si>
  <si>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</si>
  <si>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</si>
  <si>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</si>
  <si>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</si>
  <si>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</si>
  <si>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</si>
  <si>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</si>
  <si>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</si>
  <si>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</si>
  <si>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</si>
  <si>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</si>
  <si>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</si>
  <si>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</si>
  <si>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</si>
  <si>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</si>
  <si>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</si>
  <si>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𝐺𝑊𝑃𝐶𝐻4</t>
  </si>
  <si>
    <t>Global Warming Potential of methane</t>
  </si>
  <si>
    <t>Fixed Default</t>
  </si>
  <si>
    <t>𝑂X</t>
  </si>
  <si>
    <t>Oxidation factor (reflecting the amount of methane from SWDS that is oxidized in the soil or other material covering the waste)</t>
  </si>
  <si>
    <t>𝑀𝐶𝐹𝑦</t>
  </si>
  <si>
    <t>k</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</si>
  <si>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</si>
  <si>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</si>
  <si>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j</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</si>
  <si>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</si>
  <si>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</si>
  <si>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</si>
  <si>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</si>
  <si>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</si>
  <si>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Baseline Emissions (BE)</t>
  </si>
  <si>
    <t>Leakage Emissions (LE)</t>
  </si>
  <si>
    <t>CH4,SWDS,y,j</t>
  </si>
  <si>
    <t>Total</t>
  </si>
  <si>
    <t>Emissions Category</t>
  </si>
  <si>
    <t>Application</t>
  </si>
  <si>
    <t>Calculation Frequency</t>
  </si>
  <si>
    <t>Binary</t>
  </si>
  <si>
    <t>Model correction factor (φy)</t>
  </si>
  <si>
    <t>Methane correction factor (DOCj)</t>
  </si>
  <si>
    <t>Climate Conditions</t>
  </si>
  <si>
    <t>Climate Type</t>
  </si>
  <si>
    <t>Waste Types (j)</t>
  </si>
  <si>
    <t xml:space="preserve">Yearly </t>
  </si>
  <si>
    <t>Option 1 (Default)</t>
  </si>
  <si>
    <t>Boreal and Temperate</t>
  </si>
  <si>
    <t>Wood and wood products</t>
  </si>
  <si>
    <t>Weighed</t>
  </si>
  <si>
    <t>Measure</t>
  </si>
  <si>
    <t>Monthly</t>
  </si>
  <si>
    <t>Dry conditions</t>
  </si>
  <si>
    <t>Pulp, paper and cardboard (other than sludge)</t>
  </si>
  <si>
    <t>Unmanaged</t>
  </si>
  <si>
    <t>Semi-aerobic managed solid waste disposal sites</t>
  </si>
  <si>
    <t>Food, food waste, beverages and tobacco (other than sludge)</t>
  </si>
  <si>
    <t>Unmanaged solid waste disposal sites – deep</t>
  </si>
  <si>
    <t>Textiles</t>
  </si>
  <si>
    <t>Unmanaged-shallow solid waste disposal sites or stockpiles that are considered SWDS</t>
  </si>
  <si>
    <t>Glass, plastic, metal, other inert waste</t>
  </si>
  <si>
    <t>Empty fruit brunches (EFB)</t>
  </si>
  <si>
    <t>Industrial sludge</t>
  </si>
  <si>
    <t>Domestic sludge</t>
  </si>
  <si>
    <t>Other</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</si>
  <si>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</si>
  <si>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</si>
  <si>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</si>
  <si>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</si>
  <si>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</si>
  <si>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</si>
  <si>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</si>
  <si>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</si>
  <si>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</si>
  <si>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</si>
  <si>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</si>
  <si>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</si>
  <si>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</si>
  <si>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</si>
  <si>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</si>
  <si>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</si>
  <si>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</si>
  <si>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</si>
  <si>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</si>
  <si>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</si>
  <si>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</si>
  <si>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</si>
  <si>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</si>
  <si>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</si>
  <si>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</si>
  <si>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</si>
  <si>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</si>
  <si>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</si>
  <si>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</si>
  <si>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</si>
  <si>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</si>
  <si>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</si>
  <si>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</si>
  <si>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</si>
  <si>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</si>
  <si>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</si>
  <si>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</si>
  <si>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</si>
  <si>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</si>
  <si>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</si>
  <si>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</si>
  <si>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</si>
  <si>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</si>
  <si>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</si>
  <si>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</si>
  <si>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</si>
  <si>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</si>
  <si>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</si>
  <si>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</si>
  <si>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</si>
  <si>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</si>
  <si>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</si>
  <si>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</si>
  <si>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</si>
  <si>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</si>
  <si>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</si>
  <si>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</si>
  <si>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</si>
  <si>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</si>
  <si>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(G8 in Combined Margin sheet)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</si>
  <si>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</si>
  <si>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</si>
  <si>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</si>
  <si>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</si>
  <si>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</si>
  <si>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</si>
  <si>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</si>
  <si>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</si>
  <si>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</si>
  <si>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</si>
  <si>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</si>
  <si>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</si>
  <si>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</si>
  <si>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</si>
  <si>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</si>
  <si>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</si>
  <si>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</si>
  <si>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</si>
  <si>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</si>
  <si>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</si>
  <si>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</si>
  <si>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</si>
  <si>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</si>
  <si>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</si>
  <si>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</si>
  <si>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</si>
  <si>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</si>
  <si>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If/Then</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</si>
  <si>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</si>
  <si>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</si>
  <si>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</si>
  <si>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</si>
  <si>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</si>
  <si>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</si>
  <si>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</si>
  <si>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</si>
  <si>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</si>
  <si>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</si>
  <si>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</si>
  <si>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</si>
  <si>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</si>
  <si>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</si>
  <si>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</si>
  <si>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</si>
  <si>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</si>
  <si>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</si>
  <si>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</si>
  <si>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</si>
  <si>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</si>
  <si>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</si>
  <si>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</si>
  <si>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</si>
  <si>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</si>
  <si>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</si>
  <si>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</si>
  <si>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</si>
  <si>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</si>
  <si>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</si>
  <si>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</si>
  <si>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</si>
  <si>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</si>
  <si>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</si>
  <si>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</si>
  <si>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</si>
  <si>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</si>
  <si>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</si>
  <si>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</si>
  <si>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</si>
  <si>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</si>
  <si>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</si>
  <si>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</si>
  <si>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</si>
  <si>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</si>
  <si>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</si>
  <si>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</si>
  <si>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</si>
  <si>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</si>
  <si>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</si>
  <si>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</si>
  <si>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</si>
  <si>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</si>
  <si>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</si>
  <si>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</si>
  <si>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</si>
  <si>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</si>
  <si>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</si>
  <si>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</si>
  <si>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</si>
  <si>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</si>
  <si>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</si>
  <si>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</si>
  <si>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</si>
  <si>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</si>
  <si>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</si>
  <si>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</si>
  <si>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</si>
  <si>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</si>
  <si>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</si>
  <si>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</si>
  <si>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</si>
  <si>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</si>
  <si>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</si>
  <si>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</si>
  <si>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</si>
  <si>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</si>
  <si>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</si>
  <si>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</si>
  <si>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</si>
  <si>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</si>
  <si>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</si>
  <si>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</si>
  <si>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</si>
  <si>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</si>
  <si>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</si>
  <si>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</si>
  <si>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</si>
  <si>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</si>
  <si>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</si>
  <si>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</si>
  <si>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The PP can select Yes or No. If no is selected then they should get a message saying "This tool is not applicable for your project." </t>
  </si>
  <si>
    <t>Constants used in equations</t>
  </si>
  <si>
    <t>MMCH4</t>
  </si>
  <si>
    <t>Molecular mass of methane</t>
  </si>
  <si>
    <t>MMCO</t>
  </si>
  <si>
    <t>Molecular mass of carbon monoxide</t>
  </si>
  <si>
    <t>MMCO2</t>
  </si>
  <si>
    <t>Molecular mass of carbon dioxide</t>
  </si>
  <si>
    <t>MMO2</t>
  </si>
  <si>
    <t>Molecular mass of oxygen</t>
  </si>
  <si>
    <t>MMH2</t>
  </si>
  <si>
    <t>Molecular mass of hydrogen</t>
  </si>
  <si>
    <t>MMN2</t>
  </si>
  <si>
    <t>Molecular mass of nitrogen</t>
  </si>
  <si>
    <t>AMc</t>
  </si>
  <si>
    <t>Atomic mass of carbon</t>
  </si>
  <si>
    <t>AMh</t>
  </si>
  <si>
    <t>Atomic mass of hydrogen</t>
  </si>
  <si>
    <t>AMo</t>
  </si>
  <si>
    <t>Atomic mass of oxygen</t>
  </si>
  <si>
    <t>AMn</t>
  </si>
  <si>
    <t>Atomic mass of nitrogen</t>
  </si>
  <si>
    <t>Pn</t>
  </si>
  <si>
    <t>Atmospheric pressure at normal conditions</t>
  </si>
  <si>
    <t>Ru</t>
  </si>
  <si>
    <t>Universal ideal gas constant</t>
  </si>
  <si>
    <t>Tn</t>
  </si>
  <si>
    <t>Temperature at normal conditions</t>
  </si>
  <si>
    <t>MFO2</t>
  </si>
  <si>
    <t>O2 volumetric fraction of air</t>
  </si>
  <si>
    <t>GWPCH4</t>
  </si>
  <si>
    <t>Global warming potential of methane</t>
  </si>
  <si>
    <t>MVn</t>
  </si>
  <si>
    <t>Volume of one mole of any ideal gas at normal temperature and pressure</t>
  </si>
  <si>
    <t>ρ CH4, n</t>
  </si>
  <si>
    <t>Density of methane gas at normal conditions</t>
  </si>
  <si>
    <t>NAi,j</t>
  </si>
  <si>
    <t>Number of atoms of element j in component i, depending on molecular structure</t>
  </si>
  <si>
    <t>-</t>
  </si>
  <si>
    <t>NA C,CH4</t>
  </si>
  <si>
    <t>Number of atoms of element C in component CH4</t>
  </si>
  <si>
    <t>NA C,CO</t>
  </si>
  <si>
    <t>Number of atoms of element C in component CO</t>
  </si>
  <si>
    <t>NA C,CO2</t>
  </si>
  <si>
    <t>Number of atoms of element C in component CO2</t>
  </si>
  <si>
    <t>NA H,CH4</t>
  </si>
  <si>
    <t>Number of atoms of element H in component CH4</t>
  </si>
  <si>
    <t>NA H,H2</t>
  </si>
  <si>
    <t>Number of atoms of element H in component H2</t>
  </si>
  <si>
    <t>NA O,CO</t>
  </si>
  <si>
    <t>Number of atoms of element O in component CO</t>
  </si>
  <si>
    <t>NA O,CO2</t>
  </si>
  <si>
    <t>Number of atoms of element O in component CO2</t>
  </si>
  <si>
    <t>NA O,O2</t>
  </si>
  <si>
    <t>Number of atoms of element O in component O2</t>
  </si>
  <si>
    <t>NA N,N2</t>
  </si>
  <si>
    <t>Number of atoms of element N in component N2</t>
  </si>
  <si>
    <t>Input Data</t>
  </si>
  <si>
    <t>vi,RG,m,CH4</t>
  </si>
  <si>
    <t xml:space="preserve">Volumetric fraction of CH4 in residual gas </t>
  </si>
  <si>
    <t>vi,RG,m,CO</t>
  </si>
  <si>
    <t xml:space="preserve">Volumetric fraction of CO in residual gas </t>
  </si>
  <si>
    <t>vi,RG,m,CO2</t>
  </si>
  <si>
    <t xml:space="preserve">Volumetric fraction of CO2 in residual gas </t>
  </si>
  <si>
    <t>vi,RG,m,O2</t>
  </si>
  <si>
    <t xml:space="preserve">Volumetric fraction of O2 in residual gas </t>
  </si>
  <si>
    <t>vi,RG,m,H2</t>
  </si>
  <si>
    <t xml:space="preserve">Volumetric fraction of H2 in residual gas </t>
  </si>
  <si>
    <t>vi,RG,m,N2</t>
  </si>
  <si>
    <t xml:space="preserve">Volumetric fraction of N2 in residual gas </t>
  </si>
  <si>
    <t>VRG,m</t>
  </si>
  <si>
    <t>Volumetric flow of residual gas at normal conditions</t>
  </si>
  <si>
    <t>vO2,EG,m</t>
  </si>
  <si>
    <t>O2 volumetric fraction of flare exhaust gas</t>
  </si>
  <si>
    <t>fcCH4,EG,m</t>
  </si>
  <si>
    <t>Methane volumetric fraction or concentration of flare exhaust gas</t>
  </si>
  <si>
    <t>FOP</t>
  </si>
  <si>
    <t>Flare operational hours in the year</t>
  </si>
  <si>
    <t>Determination of the methane mass flow in the residual gas</t>
  </si>
  <si>
    <t>MRG,m</t>
  </si>
  <si>
    <t>Mass flow of the residual gas on a dry basis at reference conditions in the minute m (kg)</t>
  </si>
  <si>
    <t>PRG,ref,m</t>
  </si>
  <si>
    <t>Density of the residual gas at reference conditions in the minute m (kg/m3 )</t>
  </si>
  <si>
    <t xml:space="preserve">VRG,m </t>
  </si>
  <si>
    <t>Volumetric flow of the residual gas on a dry basis at reference conditions in the minute m (m3 )</t>
  </si>
  <si>
    <t>Pref</t>
  </si>
  <si>
    <t>Atmospheric pressure at reference conditions (Pa)</t>
  </si>
  <si>
    <t xml:space="preserve">MMRG,m </t>
  </si>
  <si>
    <t>Molecular mass of the residual gas in the minute m (kg/kmol)</t>
  </si>
  <si>
    <t>Determination of methane mass flow rate in the residual gas on a dry basis</t>
  </si>
  <si>
    <t>Fi,t</t>
  </si>
  <si>
    <t>Mass flow of greenhouse gas I in the gaseous stream in time interval t (kg gas/h)</t>
  </si>
  <si>
    <t>Determination of flare efficiency</t>
  </si>
  <si>
    <t>nflare,calc,m</t>
  </si>
  <si>
    <t>Flare efficiency in the minute m (Percent)</t>
  </si>
  <si>
    <t>Determination of methane mass flow rate in the exhaust gas on a dry basis of flare efficiency</t>
  </si>
  <si>
    <t>FCH4,EG,m</t>
  </si>
  <si>
    <t>Mass flow of methane in the exhaust gas of the flare on a dry basis at reference conditions in the minute m (kg)</t>
  </si>
  <si>
    <t>Determination of the volumetric flow rate of the exhaust gas</t>
  </si>
  <si>
    <t>VEG,m</t>
  </si>
  <si>
    <t>Volumetric flow of the exhaust gas on a dry basis at reference conditions in the minute m (m3 )</t>
  </si>
  <si>
    <t xml:space="preserve">QEG,m </t>
  </si>
  <si>
    <t>Volume of the exhaust gas on a dry basis per kg of residual gas on a dry basis at reference conditions in the minute m (m3 /kg residual gas)</t>
  </si>
  <si>
    <t>QO2,EG,m</t>
  </si>
  <si>
    <t>O2 volume in the exhaust gas per kg of residual gas on a dry basis at reference conditions in the minute m (m3 /kg residual gas)</t>
  </si>
  <si>
    <t xml:space="preserve">QN2,EG,m </t>
  </si>
  <si>
    <t>N2 (volume) in the exhaust gas per kg of residual gas on a dry basis at reference conditions in the minute m (m3 /kg residual gas)</t>
  </si>
  <si>
    <t>QCO2,EG,m</t>
  </si>
  <si>
    <t>CO2 volume in the exhaust gas per kg of residual gas on a dry basis at reference conditions in the minute m (m3 /kg residual gas)</t>
  </si>
  <si>
    <t xml:space="preserve">NO2,EG,m </t>
  </si>
  <si>
    <t>O2 (moles) in the exhaust gas per kg of residual gas flared on a dry basis at reference conditions in the minute m (kmol/kg residual gas)</t>
  </si>
  <si>
    <t>FO2,RG,m</t>
  </si>
  <si>
    <t>Stochiometric quantity of moles of O2 required for a complete oxidation of one kg residual gas in the minute m (kmol/kg residual gas)</t>
  </si>
  <si>
    <t xml:space="preserve">Determination of the mass fraction of carbon, hydrogen, oxygen and nitrogen in the residual gas </t>
  </si>
  <si>
    <t xml:space="preserve">MFC,RG,m </t>
  </si>
  <si>
    <t>Mass fraction of element carbon in the residual gas in the minute m</t>
  </si>
  <si>
    <t>MFH2,RG,m</t>
  </si>
  <si>
    <t>Mass fraction of element hydrogen in the residual gas in the minute m</t>
  </si>
  <si>
    <t>MFO2,RG,m</t>
  </si>
  <si>
    <t>Mass fraction of element oxygen in the residual gas in the minute m</t>
  </si>
  <si>
    <t xml:space="preserve">MFN2,RG,m </t>
  </si>
  <si>
    <t>Mass fraction of element nitrogen in the residual gas in the minute m</t>
  </si>
  <si>
    <t>Calculation of project yearly emissions from flaring</t>
  </si>
  <si>
    <t xml:space="preserve">PEflare,y </t>
  </si>
  <si>
    <t>Project emissions from flaring of the residual gas in year y (tCO2e)</t>
  </si>
  <si>
    <t>Comments</t>
  </si>
  <si>
    <t>Identify the relevant electricity systems</t>
  </si>
  <si>
    <t>Please provide information about electricity systems. For more information refer to section 6.1 in Methodological Tool 07.</t>
  </si>
  <si>
    <t>The comments on TOOL07 appraoch that was or will be shared by Panna are applicable here</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</si>
  <si>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</si>
  <si>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</si>
  <si>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</si>
  <si>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</si>
  <si>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</si>
  <si>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</si>
  <si>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</si>
  <si>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</si>
  <si>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</si>
  <si>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</si>
  <si>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</si>
  <si>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</si>
  <si>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</si>
  <si>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</si>
  <si>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</si>
  <si>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t>Option</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</si>
  <si>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</si>
  <si>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Auto-Calculate</t>
  </si>
  <si>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</si>
  <si>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</si>
  <si>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</si>
  <si>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</si>
  <si>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</si>
  <si>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</si>
  <si>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</si>
  <si>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</si>
  <si>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</si>
  <si>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i</t>
  </si>
  <si>
    <t>Fuel type combusted in power plant/unit</t>
  </si>
  <si>
    <t>m</t>
  </si>
  <si>
    <t>Name for power unit serving the grid in year specified (except low-cost/must-run power units)</t>
  </si>
  <si>
    <t>Power Unit 1</t>
  </si>
  <si>
    <t>EGm,y</t>
  </si>
  <si>
    <t>Net quantity of electricity generated and delivered to the grid by power unit m in year y (MWh)</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</si>
  <si>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</si>
  <si>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</si>
  <si>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</si>
  <si>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</si>
  <si>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</si>
  <si>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</si>
  <si>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</si>
  <si>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</si>
  <si>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</si>
  <si>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</si>
  <si>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</si>
  <si>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</si>
  <si>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</si>
  <si>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</si>
  <si>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</si>
  <si>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</si>
  <si>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</si>
  <si>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</si>
  <si>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</si>
  <si>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</si>
  <si>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</si>
  <si>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</si>
  <si>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</si>
  <si>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</si>
  <si>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</si>
  <si>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</si>
  <si>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</si>
  <si>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</si>
  <si>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</si>
  <si>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</si>
  <si>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</si>
  <si>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</si>
  <si>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</si>
  <si>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</si>
  <si>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</si>
  <si>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</si>
  <si>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</si>
  <si>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</si>
  <si>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</si>
  <si>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</si>
  <si>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</si>
  <si>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</si>
  <si>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</si>
  <si>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</si>
  <si>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</si>
  <si>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</si>
  <si>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</si>
  <si>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</si>
  <si>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</si>
  <si>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</si>
  <si>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</si>
  <si>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</si>
  <si>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</si>
  <si>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</si>
  <si>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</si>
  <si>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</si>
  <si>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</si>
  <si>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</si>
  <si>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</si>
  <si>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</si>
  <si>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</si>
  <si>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</si>
  <si>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</si>
  <si>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</si>
  <si>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</si>
  <si>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</si>
  <si>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</si>
  <si>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</si>
  <si>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</si>
  <si>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</si>
  <si>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</si>
  <si>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</si>
  <si>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</si>
  <si>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</si>
  <si>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</si>
  <si>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</si>
  <si>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</si>
  <si>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</si>
  <si>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</si>
  <si>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</si>
  <si>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</si>
  <si>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</si>
  <si>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</si>
  <si>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</si>
  <si>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</si>
  <si>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</si>
  <si>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</si>
  <si>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</si>
  <si>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</si>
  <si>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Select the option that will be used to calculate the Dispatch Data Analysis OM:</t>
  </si>
  <si>
    <t>Option 1</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</si>
  <si>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</si>
  <si>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</si>
  <si>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</si>
  <si>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</si>
  <si>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</si>
  <si>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</si>
  <si>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</si>
  <si>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</si>
  <si>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</si>
  <si>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</si>
  <si>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</si>
  <si>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</si>
  <si>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</si>
  <si>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</si>
  <si>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</si>
  <si>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</si>
  <si>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</si>
  <si>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</si>
  <si>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</si>
  <si>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</si>
  <si>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</si>
  <si>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</si>
  <si>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</si>
  <si>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n</t>
  </si>
  <si>
    <t>Unit Name</t>
  </si>
  <si>
    <t>CHARDI01</t>
  </si>
  <si>
    <t>Date</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</si>
  <si>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</si>
  <si>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</si>
  <si>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</si>
  <si>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</si>
  <si>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</si>
  <si>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</si>
  <si>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</si>
  <si>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</si>
  <si>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Isolated System</t>
  </si>
  <si>
    <t>Is this data for the first crediting period?</t>
  </si>
  <si>
    <t>Select the option that best fits with your project activities:</t>
  </si>
  <si>
    <t>All Other Projects</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</si>
  <si>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</si>
  <si>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</si>
  <si>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</si>
  <si>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</si>
  <si>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</si>
  <si>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</si>
  <si>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</si>
  <si>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</si>
  <si>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</si>
  <si>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</si>
  <si>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</si>
  <si>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</si>
  <si>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</si>
  <si>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</si>
  <si>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</si>
  <si>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</si>
  <si>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</si>
  <si>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</si>
  <si>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Single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</si>
  <si>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</si>
  <si>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</si>
  <si>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</si>
  <si>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</si>
  <si>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</si>
  <si>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Notes (Help Text)</t>
  </si>
  <si>
    <t xml:space="preserve">Is the load the main operating parameter that influences the efficiency of the energy generation system? </t>
  </si>
  <si>
    <t>The tool can be applied only if load is the main operating parameter that influences the efficiency of the energy generation system. For cogeneration systems, the heat to power ratio may also be considered a main operating parameter. For cogeneration projects, project participants shall also document and justify the choice of heat to power ratio used in the measurements.</t>
  </si>
  <si>
    <t xml:space="preserve">Select one of the following options to estimate the efficiency of the energy generation system. </t>
  </si>
  <si>
    <t>Option F: Use a default value</t>
  </si>
  <si>
    <t xml:space="preserve">Does the energy generation systems use a single fuel type and fuel mix including waste energy? </t>
  </si>
  <si>
    <t>Indicate the type of measuring equipment used, details of how the measurements were carried out and the measurement results.</t>
  </si>
  <si>
    <t>Options (A) to (E) are applicable only to energy generation systems that use a single fuel type and fuel mix including waste energy. In case of fuel mix, the efficiency of the energy generating equipment is calculated based on the fuel with highest percentage of share in a monitoring year in terms of calorific value.</t>
  </si>
  <si>
    <t>Is this tool being applied to determine a constant efficiency?</t>
  </si>
  <si>
    <t xml:space="preserve">Has the manufacturer of the energy generation system provided load-efficiency functions or performance curves for the system at the time of installation? </t>
  </si>
  <si>
    <t xml:space="preserve">If the manufacturer does provide full load-efficiency functions or performance curves, Option A applies over Option D. </t>
  </si>
  <si>
    <t xml:space="preserve">Do these functions or curves clearly show the efficiency of the system at all applicable loads and for the relevant range of operational conditions? </t>
  </si>
  <si>
    <t>Are the functions or curves consistent with the equipment/system characteristics?</t>
  </si>
  <si>
    <t xml:space="preserve">Has retrofitting been done on the system prior to the implementation of the project activity that could have increased its efficiency? </t>
  </si>
  <si>
    <t xml:space="preserve">Are measured data on the load and other parameters that are required to establish the efficiency of the system available on an hourly basis (or a shorter time period) for the most recent year prior to the implementation of the project activity? </t>
  </si>
  <si>
    <t xml:space="preserve">Are annual data on the efficiency of the energy generation system available for the most recent three years prior to the implementation of the project activity? </t>
  </si>
  <si>
    <t>Option A: Use the manufacturer’s load-efficiency function</t>
  </si>
  <si>
    <t>η=f(L)</t>
  </si>
  <si>
    <t>Load-efficiency function expressing the efficiency of the energy generation system as a function of the load at which the system is operated</t>
  </si>
  <si>
    <t>User-defined function</t>
  </si>
  <si>
    <t xml:space="preserve">No </t>
  </si>
  <si>
    <t>Option B: Establish a load-efficiency function based on measurements and a regression analysis</t>
  </si>
  <si>
    <t>The tests shall be conducted by an independent entity such as the equipment supplier, sectoral experts/consultants etc. and the results of the efficiency tests shall be validated by the DOE.</t>
  </si>
  <si>
    <t>Option C: Establish the efficiency function based on historical data and a regression analysis</t>
  </si>
  <si>
    <t>η</t>
  </si>
  <si>
    <t>Efficiency of the energy generation system as a constant value</t>
  </si>
  <si>
    <t>If the tool is used to establish a constant efficiency, the highest annual efficiency from the most recent three years should be chosen.</t>
  </si>
  <si>
    <t>Project participants shall document the complete data set used to establish the efficiency function.</t>
  </si>
  <si>
    <t>Option D: Use the manufacturer’s efficiency values</t>
  </si>
  <si>
    <t>Option E: Determine the efficiency based on measurements and use a conservative value</t>
  </si>
  <si>
    <t>Document the measurement procedures and results transparently. A minimum of 10 measurements shall be taken at different loads in the full operation range or rated capacity and among the measurements, the highest efficiency shall be considered as a conservative approach. Project participants shall justify and document the chosen optimal operating conditions.</t>
  </si>
  <si>
    <t xml:space="preserve">Project participants may use the default values for the applicable technology from the appendix as constant efficiency. See default values tables. </t>
  </si>
  <si>
    <t xml:space="preserve">Value to be Used in Main Framework Schema </t>
  </si>
  <si>
    <t>Dropdown Items</t>
  </si>
  <si>
    <t>Efficiency Estimation Options</t>
  </si>
  <si>
    <t>Binary Yes/No</t>
  </si>
  <si>
    <t>Option C: Establish the efficiency based on historical data and a regression analysis</t>
  </si>
  <si>
    <t>Defualt Values</t>
  </si>
  <si>
    <t xml:space="preserve">Multiple Answers </t>
  </si>
  <si>
    <t xml:space="preserve">Selective Disclosure </t>
  </si>
  <si>
    <t xml:space="preserve">Is transportation the main project activity? </t>
  </si>
  <si>
    <t xml:space="preserve">Is the tool being used to calculate project emissions (PEtr,m) or leakage emissions (LEtr,m)? </t>
  </si>
  <si>
    <t>Project emissions (PEtr,m)</t>
  </si>
  <si>
    <t>f</t>
  </si>
  <si>
    <t xml:space="preserve">Which freight transportation activities (f) will occur under the project activity? </t>
  </si>
  <si>
    <t>Activity 1</t>
  </si>
  <si>
    <t>Click to add transportation activity (f)</t>
  </si>
  <si>
    <r>
      <t xml:space="preserve">All fields below must be completed for </t>
    </r>
    <r>
      <rPr>
        <u/>
        <sz val="11"/>
        <color theme="1"/>
        <rFont val="Calibri"/>
        <family val="2"/>
        <scheme val="minor"/>
      </rPr>
      <t>each</t>
    </r>
    <r>
      <rPr>
        <sz val="11"/>
        <color theme="1"/>
        <rFont val="Calibri"/>
        <family val="2"/>
        <scheme val="minor"/>
      </rPr>
      <t xml:space="preserve"> transportation activity </t>
    </r>
  </si>
  <si>
    <t>For each freight transportation activities (f), the origin of the freight (to the extent that this is known at validation)</t>
  </si>
  <si>
    <t>Source 1</t>
  </si>
  <si>
    <t>For each freight transportation activities (f), the destination of the freight (to the extent that this is known at validation)</t>
  </si>
  <si>
    <t>Facility 1</t>
  </si>
  <si>
    <t>For each freight transportation activities (f), the type(s) of freight that are planned to be transported</t>
  </si>
  <si>
    <t>Sugar cane bagasse</t>
  </si>
  <si>
    <t xml:space="preserve">For each freight transportation activities (f), the planned number of trips made </t>
  </si>
  <si>
    <t>FRf,m</t>
  </si>
  <si>
    <t>For each freight transportation activities (f), the planned quantity of freight that should be transported (t)</t>
  </si>
  <si>
    <t xml:space="preserve">Total mass of freight transported in freight transportation activity f in monitoring period m (t) </t>
  </si>
  <si>
    <t xml:space="preserve">For each freight transportation activities (f),which option will be used to determine project or leakage emissions from road transportation of freight? </t>
  </si>
  <si>
    <t>Option B: Using conservative default values</t>
  </si>
  <si>
    <t>For each freight transportation activities (f), select the mode of transportation</t>
  </si>
  <si>
    <t>Road Vehicle</t>
  </si>
  <si>
    <t>For each freight transportation activities (f), select the vehicle class</t>
  </si>
  <si>
    <t>Heavy</t>
  </si>
  <si>
    <t>Option A: Monitoring fuel consumption</t>
  </si>
  <si>
    <t xml:space="preserve">Please detail and document how data on fuel consumption is collected and checked. </t>
  </si>
  <si>
    <t xml:space="preserve">The monitoring plan shall document how data on fuel consumption is collected and checked. </t>
  </si>
  <si>
    <t>[PE, LE] tr,m</t>
  </si>
  <si>
    <t>[Project or Leakage] emissions from transportation of freight in monitoring
period m</t>
  </si>
  <si>
    <t xml:space="preserve">Element process j corresponds to the combustion of fuels in the vehicles. If biofuels are used, then the corresponding CO2 emission factor of the fossil fuels that would most likely be used in the absence of the use of biofuels should be used. If biofuel blends are consumed, then the CO2 emission factor of the fossil fuel used in the blend shall be used, as a conservative simplification. The monitored fuel consumption shall include fuel consumed by the vehicles on both outbound and return trips, even if the vehicles also transport freight not associated with the project activity. </t>
  </si>
  <si>
    <t>Df,m</t>
  </si>
  <si>
    <t>Road (or rail line) distance between the origin and the destination (km)</t>
  </si>
  <si>
    <t xml:space="preserve">Return trip distance between the origin and destination of freight transportation activity f in monitoring period m (km) </t>
  </si>
  <si>
    <t>EFco2,f</t>
  </si>
  <si>
    <t>Default CO2 emission factor for freight transportation activity f
(g CO2/t km)</t>
  </si>
  <si>
    <t xml:space="preserve">Auto-calculation </t>
  </si>
  <si>
    <t>[Project or Leakage] Emissions from transportation of freight in monitoring
period m</t>
  </si>
  <si>
    <t>Project Emissions Monitoring Summary Table</t>
  </si>
  <si>
    <t>Activity (f)</t>
  </si>
  <si>
    <t>Freight Type</t>
  </si>
  <si>
    <t>Weight (t)</t>
  </si>
  <si>
    <t>Origin</t>
  </si>
  <si>
    <t>Destination</t>
  </si>
  <si>
    <t>Road Distance (km)</t>
  </si>
  <si>
    <t>Transportation Mode</t>
  </si>
  <si>
    <t>Vehicle Class</t>
  </si>
  <si>
    <t>PEtr,m</t>
  </si>
  <si>
    <t>Leakage Emissions Monitoring Summary Table</t>
  </si>
  <si>
    <t>Options</t>
  </si>
  <si>
    <t>Mode of Transportation</t>
  </si>
  <si>
    <t>Type of Emissions Estimates</t>
  </si>
  <si>
    <t>Rail</t>
  </si>
  <si>
    <t xml:space="preserve">Light </t>
  </si>
  <si>
    <t>Leakage emissions (LEtr,m)</t>
  </si>
  <si>
    <t>Project emissions from composting</t>
  </si>
  <si>
    <t>PECOMP,y</t>
  </si>
  <si>
    <t>Project emissions associated with composting in year y (t CO2e/yr)</t>
  </si>
  <si>
    <t>Determination of the quantity of waste composted (Qy)</t>
  </si>
  <si>
    <t>There are two options to determine the quantity of waste composted in year y. Select one: 
Option 1: Procedure using a weighing device
Option 2: Procedure without using a weighing device</t>
  </si>
  <si>
    <t>Determination of the quantity of waste composted (Qy) Option 1</t>
  </si>
  <si>
    <t>Qy</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</si>
  <si>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</si>
  <si>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</si>
  <si>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</si>
  <si>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</si>
  <si>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</si>
  <si>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</si>
  <si>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</si>
  <si>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</si>
  <si>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</si>
  <si>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</si>
  <si>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</si>
  <si>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</si>
  <si>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</si>
  <si>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</si>
  <si>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</si>
  <si>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</si>
  <si>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</si>
  <si>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</si>
  <si>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</si>
  <si>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tproject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</si>
  <si>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</si>
  <si>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</si>
  <si>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</si>
  <si>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</si>
  <si>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</si>
  <si>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x</t>
  </si>
  <si>
    <t>Number of composting cycles c for which emissions were measured in year y (at least three)</t>
  </si>
  <si>
    <t>[Click to add composting cycles for which measurements were undertaken]</t>
  </si>
  <si>
    <t xml:space="preserve">c </t>
  </si>
  <si>
    <t>Composting cycle for which measurements were undertaken</t>
  </si>
  <si>
    <t>Cycle 1</t>
  </si>
  <si>
    <t>ECCCH4,c</t>
  </si>
  <si>
    <t>Methane emissions from composting during the composting cycle c (t CH4)</t>
  </si>
  <si>
    <t>ECCN2O,c</t>
  </si>
  <si>
    <t>Nitrous oxide emissions from composting during the composting cycle c (t N2O)</t>
  </si>
  <si>
    <t>Qc</t>
  </si>
  <si>
    <t>Quantity of waste composted in composting cycle c (t)</t>
  </si>
  <si>
    <t>c</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</si>
  <si>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</si>
  <si>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</si>
  <si>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</si>
  <si>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</si>
  <si>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</si>
  <si>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</si>
  <si>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</si>
  <si>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</si>
  <si>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</si>
  <si>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</si>
  <si>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</si>
  <si>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</si>
  <si>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</si>
  <si>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</si>
  <si>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</si>
  <si>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</si>
  <si>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</si>
  <si>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</si>
  <si>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</si>
  <si>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</si>
  <si>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</si>
  <si>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</si>
  <si>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</si>
  <si>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</si>
  <si>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</si>
  <si>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</si>
  <si>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</si>
  <si>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</si>
  <si>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</si>
  <si>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</si>
  <si>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</si>
  <si>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</si>
  <si>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</si>
  <si>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</si>
  <si>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</si>
  <si>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</si>
  <si>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</si>
  <si>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Leakage Emissions</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</si>
  <si>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</si>
  <si>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</si>
  <si>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</si>
  <si>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</si>
  <si>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</si>
  <si>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</si>
  <si>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</si>
  <si>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</si>
  <si>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</si>
  <si>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</si>
  <si>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</si>
  <si>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</si>
  <si>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</si>
  <si>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Determination of the quantity of methane produced in the digester (QCH4,y)</t>
  </si>
  <si>
    <t>Is your project small-scale or large-scale?</t>
  </si>
  <si>
    <t>Small-scale</t>
  </si>
  <si>
    <t>If PP selects "large scale" they will use option one calculation using monitored data if they select "small scale" the follow up with question in D4.</t>
  </si>
  <si>
    <t>Do you want to use default values or monitored data to calculate the quantity of methane produced in the digester?</t>
  </si>
  <si>
    <t>Default Values</t>
  </si>
  <si>
    <r>
      <t>Default Values or Monitored Data</t>
    </r>
    <r>
      <rPr>
        <sz val="11"/>
        <rFont val="Calibri"/>
        <family val="2"/>
        <scheme val="minor"/>
      </rPr>
      <t xml:space="preserve"> (If Default Value use schema in row 41, if Monitored Data use schema in row 18)</t>
    </r>
  </si>
  <si>
    <t>Does the anaerobic digester consumes electricity, such as for mixing, recirculation of digestate, or processing of feed material?</t>
  </si>
  <si>
    <t xml:space="preserve">If no then no calculation is needed for "Project emissions from electricity consumption associated with the anaerobic digester", if yes then follow up with question in D7. </t>
  </si>
  <si>
    <t>Is the electricity consumed generated on-site using biomass residues, wind, hydro or geothermal power?</t>
  </si>
  <si>
    <t xml:space="preserve">If yes then  "Project emissions from electricity consumption associated with the anaerobic digester" is equal to 0, if no then follow up with question in D8. </t>
  </si>
  <si>
    <t>Do you want to use default values or monitored data to calculate project emissions from electricity consumption associated with anaerobic digesters?</t>
  </si>
  <si>
    <r>
      <t xml:space="preserve">Default Values or Monitored Data </t>
    </r>
    <r>
      <rPr>
        <sz val="11"/>
        <rFont val="Calibri"/>
        <family val="2"/>
        <scheme val="minor"/>
      </rPr>
      <t>(If Default Value use schema in row 48, if Monitored Data use schema in row 46)</t>
    </r>
  </si>
  <si>
    <t>Determination of leakage emissions associated with storage of 
digestate (LEstorage,y) of project emissions from electricity consumption (PEEC,y)</t>
  </si>
  <si>
    <r>
      <t xml:space="preserve">Is the digestate is stored under the following anaerobic
conditions?
</t>
    </r>
    <r>
      <rPr>
        <b/>
        <sz val="11"/>
        <color rgb="FF000000"/>
        <rFont val="Calibri"/>
        <family val="2"/>
        <scheme val="minor"/>
      </rPr>
      <t>Option 1-</t>
    </r>
    <r>
      <rPr>
        <sz val="11"/>
        <color rgb="FF000000"/>
        <rFont val="Calibri"/>
        <family val="2"/>
        <scheme val="minor"/>
      </rPr>
      <t xml:space="preserve"> In an un-aerated lagoon that has a depth of more than one meter.
</t>
    </r>
    <r>
      <rPr>
        <b/>
        <sz val="11"/>
        <color rgb="FF000000"/>
        <rFont val="Calibri"/>
        <family val="2"/>
        <scheme val="minor"/>
      </rPr>
      <t>Option 2-</t>
    </r>
    <r>
      <rPr>
        <sz val="11"/>
        <color rgb="FF000000"/>
        <rFont val="Calibri"/>
        <family val="2"/>
        <scheme val="minor"/>
      </rPr>
      <t xml:space="preserve"> In a solid waste disposal site (SWDS), including stockpiles that are considered a SWDS.
</t>
    </r>
    <r>
      <rPr>
        <b/>
        <sz val="11"/>
        <color rgb="FF000000"/>
        <rFont val="Calibri"/>
        <family val="2"/>
        <scheme val="minor"/>
      </rPr>
      <t>Option 3-</t>
    </r>
    <r>
      <rPr>
        <sz val="11"/>
        <color rgb="FF000000"/>
        <rFont val="Calibri"/>
        <family val="2"/>
        <scheme val="minor"/>
      </rPr>
      <t xml:space="preserve"> None of the above apply.</t>
    </r>
  </si>
  <si>
    <t>Option 3</t>
  </si>
  <si>
    <t>If option 1 or 2 is selected then follow up with question in D11, if option 3 is selected then F66 will be 0</t>
  </si>
  <si>
    <t>Do you want to use default values or monitored data to calculate leakage emissions associated with storage of digestate?</t>
  </si>
  <si>
    <t>Option 1 has the option between Default Values (row 76) or Monitored Data (row 68), Option 2 has the option between Default Values (row 82) or Monitored Values (Tool 04)</t>
  </si>
  <si>
    <t xml:space="preserve">Project Emissions associated with anaerobic digesters </t>
  </si>
  <si>
    <t>PEAD,y</t>
  </si>
  <si>
    <t>Project emissions associated with the anaerobic digester in year y (t CO2e)</t>
  </si>
  <si>
    <t>PEEC,y</t>
  </si>
  <si>
    <t>Project emissions from electricity consumption associated with the anaerobic digester in year y (t CO2e)</t>
  </si>
  <si>
    <t>If using monitored data then use F47, if using default data then use F49</t>
  </si>
  <si>
    <t>Project emissions from fossil fuel consumption associated with the anaerobic digester in year y (t CO2e)</t>
  </si>
  <si>
    <t>Project emissions of methane from the anaerobic digester in year y (t CO2e)</t>
  </si>
  <si>
    <t>PEflare,y</t>
  </si>
  <si>
    <t>Project emissions from flaring of biogas in year y (t CO2e)</t>
  </si>
  <si>
    <t>Quantity of methane produced in the digester (QCH4,y) (Monitored Data)</t>
  </si>
  <si>
    <t xml:space="preserve">mH2O,t,db,Sat </t>
  </si>
  <si>
    <t>Saturation absolute humidity in time interval t on a dry basis (kg H2O/kg dry gas)</t>
  </si>
  <si>
    <t xml:space="preserve">pH2O,t,Sat </t>
  </si>
  <si>
    <t>Saturation pressure of H2O at temperature Tt in time interval t (Pa)</t>
  </si>
  <si>
    <t xml:space="preserve">Tt </t>
  </si>
  <si>
    <t>Temperature of the gaseous stream in time interval t (K)</t>
  </si>
  <si>
    <t xml:space="preserve">Pt </t>
  </si>
  <si>
    <t>Absolute pressure of the gaseous stream in time interval t (Pa)</t>
  </si>
  <si>
    <t xml:space="preserve">MMH2O </t>
  </si>
  <si>
    <t>Molecular mass of H2O (kg H2O/kmol H2O)</t>
  </si>
  <si>
    <t xml:space="preserve">MMt,db </t>
  </si>
  <si>
    <t>Molecular mass of the gaseous stream in a time interval t on a dry basis (kg dry gas/kmol dry gas)</t>
  </si>
  <si>
    <t xml:space="preserve">vk,t,db </t>
  </si>
  <si>
    <t>Volumetric fraction of gas k in the gaseous stream in time interval t on a dry basis (m³ gas k/m³ dry gas)</t>
  </si>
  <si>
    <t xml:space="preserve">MMk </t>
  </si>
  <si>
    <t>Molecular mass of gas k (kg/kmol)</t>
  </si>
  <si>
    <t xml:space="preserve">k </t>
  </si>
  <si>
    <t>All gases, except H2O, contained in the gaseous stream</t>
  </si>
  <si>
    <t>Methane (CH4)</t>
  </si>
  <si>
    <t>Mass flow of greenhouse gas i in the gaseous stream in time interval t (kg gas/h)</t>
  </si>
  <si>
    <t xml:space="preserve">Vt,wb, n </t>
  </si>
  <si>
    <t>Volumetric flow of the gaseous stream in time interval t on a wet basis at normal conditions (m³ wet gas/h)</t>
  </si>
  <si>
    <t xml:space="preserve">vi,t,wb </t>
  </si>
  <si>
    <t>Volumetric fraction of greenhouse gas i in the gaseous stream in time interval t on a wet basis (m³ gas i/m³ wet gas)</t>
  </si>
  <si>
    <t xml:space="preserve">pi,n </t>
  </si>
  <si>
    <t xml:space="preserve">Density of greenhouse gas i in the gaseous stream at normal conditions
(kg gas i/m³ wet gas i) </t>
  </si>
  <si>
    <t>Pn Absolute pressure at normal conditions (Pa)</t>
  </si>
  <si>
    <t xml:space="preserve">Tn </t>
  </si>
  <si>
    <t>Temperature at normal conditions (K)</t>
  </si>
  <si>
    <t xml:space="preserve">MMi </t>
  </si>
  <si>
    <t>Molecular mass of greenhouse gas i (kg/kmol)</t>
  </si>
  <si>
    <t xml:space="preserve">Ru </t>
  </si>
  <si>
    <t>Universal ideal gases constant (Pa.m3 /kmol.K)</t>
  </si>
  <si>
    <t xml:space="preserve">Mt,wb </t>
  </si>
  <si>
    <t>Mass flow of the gaseous stream in time interval t on a wet basis (kg/h</t>
  </si>
  <si>
    <t xml:space="preserve">Pt,wb,n </t>
  </si>
  <si>
    <t>Density of the gaseous stream in time interval t on a wet basis at normal conditions (kg wet gas/m3 wet gas)</t>
  </si>
  <si>
    <t xml:space="preserve">MMt,wb </t>
  </si>
  <si>
    <t>Molecular mass of the gaseous stream in time interval t on a wet basis
(kg wet gas/kmol wet gas)</t>
  </si>
  <si>
    <t xml:space="preserve">Vk,t,wb </t>
  </si>
  <si>
    <t>Volumetric fraction of gas k in the gaseous stream in time interval t on a wet basis (m³ gas k/m³ wet gas)</t>
  </si>
  <si>
    <t xml:space="preserve">t </t>
  </si>
  <si>
    <t>Time interval of monitoring (Example: 5 minutes or hourly)</t>
  </si>
  <si>
    <t>hourly basis or a smaller time interval</t>
  </si>
  <si>
    <t>Quantity of methane produced in the digester (QCH4,y) (Default Value)</t>
  </si>
  <si>
    <t xml:space="preserve">QCH4,y </t>
  </si>
  <si>
    <t>Quantity of methane produced in the digester in year y (t CH4)</t>
  </si>
  <si>
    <t xml:space="preserve">Qbiogas,y </t>
  </si>
  <si>
    <t>Amount of biogas collected at the digester outlet in year y (Nm3 biogas)</t>
  </si>
  <si>
    <t xml:space="preserve">fCH4,default </t>
  </si>
  <si>
    <t>Default value for the fraction of methane in the biogas (m3 CH4 / m3 biogas)</t>
  </si>
  <si>
    <t>PCH4</t>
  </si>
  <si>
    <t>Density of methane at normal conditions (t CH4 / Nm3 CH4)</t>
  </si>
  <si>
    <t>Project emissions from electricity consumption (PEEC,y) (Monitored Data)</t>
  </si>
  <si>
    <t>Comes from Tool 05</t>
  </si>
  <si>
    <t>Project emissions from electricity consumption (PEEC,y) (Default Value)</t>
  </si>
  <si>
    <t>Project emissions from electricity consumption associated with the anaerobic digester in year y (t CO2)</t>
  </si>
  <si>
    <t>Quantity of methane produced in the anaerobic digester in year y (t CH4)</t>
  </si>
  <si>
    <r>
      <t xml:space="preserve">Please select the digester that is being used in this project: </t>
    </r>
    <r>
      <rPr>
        <b/>
        <sz val="11"/>
        <color theme="1"/>
        <rFont val="Calibri"/>
        <family val="2"/>
        <scheme val="minor"/>
      </rPr>
      <t xml:space="preserve">Option A- </t>
    </r>
    <r>
      <rPr>
        <sz val="11"/>
        <color theme="1"/>
        <rFont val="Calibri"/>
        <family val="2"/>
        <scheme val="minor"/>
      </rPr>
      <t xml:space="preserve">Covered anaerobic lagoons (gravity fed) / conventional digesters 
</t>
    </r>
    <r>
      <rPr>
        <b/>
        <sz val="11"/>
        <color theme="1"/>
        <rFont val="Calibri"/>
        <family val="2"/>
        <scheme val="minor"/>
      </rPr>
      <t xml:space="preserve">Option B- </t>
    </r>
    <r>
      <rPr>
        <sz val="11"/>
        <color theme="1"/>
        <rFont val="Calibri"/>
        <family val="2"/>
        <scheme val="minor"/>
      </rPr>
      <t xml:space="preserve">Upflow anaerobic sludge blanket reactor (UASB) / filter bed reactor for wastewater / fluidized bed reactor </t>
    </r>
    <r>
      <rPr>
        <b/>
        <sz val="11"/>
        <color theme="1"/>
        <rFont val="Calibri"/>
        <family val="2"/>
        <scheme val="minor"/>
      </rPr>
      <t>Option C-</t>
    </r>
    <r>
      <rPr>
        <sz val="11"/>
        <color theme="1"/>
        <rFont val="Calibri"/>
        <family val="2"/>
        <scheme val="minor"/>
      </rPr>
      <t xml:space="preserve"> Conventional digesters with continuously stirred tank reactor type for wastewater
</t>
    </r>
    <r>
      <rPr>
        <b/>
        <sz val="11"/>
        <color theme="1"/>
        <rFont val="Calibri"/>
        <family val="2"/>
        <scheme val="minor"/>
      </rPr>
      <t xml:space="preserve">Option D- </t>
    </r>
    <r>
      <rPr>
        <sz val="11"/>
        <color theme="1"/>
        <rFont val="Calibri"/>
        <family val="2"/>
        <scheme val="minor"/>
      </rPr>
      <t xml:space="preserve">Any anaerobic digester for solid waste with preprocessing of wastes (e.g. pulverizing)
</t>
    </r>
    <r>
      <rPr>
        <b/>
        <sz val="11"/>
        <color theme="1"/>
        <rFont val="Calibri"/>
        <family val="2"/>
        <scheme val="minor"/>
      </rPr>
      <t xml:space="preserve">Option E- </t>
    </r>
    <r>
      <rPr>
        <sz val="11"/>
        <color theme="1"/>
        <rFont val="Calibri"/>
        <family val="2"/>
        <scheme val="minor"/>
      </rPr>
      <t>Any digesters other than those specified above, which are fed bygravity, and have no recirculation</t>
    </r>
  </si>
  <si>
    <t xml:space="preserve">FEC,default </t>
  </si>
  <si>
    <t>Default factor for the electricity consumption associated with the anaerobic digester per ton of methane generated (MWh / t CH4)</t>
  </si>
  <si>
    <t>Dependent on response from F51</t>
  </si>
  <si>
    <t xml:space="preserve">EFEL,default </t>
  </si>
  <si>
    <t>Default emission factor for the electricity consumed in year y (t CO2 / MWh)</t>
  </si>
  <si>
    <t>Project emissions from fossil fuel consumption
(PEFC,y)</t>
  </si>
  <si>
    <t>Comes from Tool 03</t>
  </si>
  <si>
    <t>Project emissions of methane from the anaerobic 
digester (PECH4,y)</t>
  </si>
  <si>
    <t xml:space="preserve">PECH4,y </t>
  </si>
  <si>
    <r>
      <t xml:space="preserve">What type of digester is used in the project activity? 
</t>
    </r>
    <r>
      <rPr>
        <b/>
        <sz val="11"/>
        <color theme="1"/>
        <rFont val="Calibri"/>
        <family val="2"/>
        <scheme val="minor"/>
      </rPr>
      <t>Option A-</t>
    </r>
    <r>
      <rPr>
        <sz val="11"/>
        <color theme="1"/>
        <rFont val="Calibri"/>
        <family val="2"/>
        <scheme val="minor"/>
      </rPr>
      <t xml:space="preserve"> Digesters with steel or lined concrete or fiberglass
digesters and a gas holding system (egg shaped digesters) and monolithic construction
</t>
    </r>
    <r>
      <rPr>
        <b/>
        <sz val="11"/>
        <color theme="1"/>
        <rFont val="Calibri"/>
        <family val="2"/>
        <scheme val="minor"/>
      </rPr>
      <t xml:space="preserve">Option B- </t>
    </r>
    <r>
      <rPr>
        <sz val="11"/>
        <color theme="1"/>
        <rFont val="Calibri"/>
        <family val="2"/>
        <scheme val="minor"/>
      </rPr>
      <t xml:space="preserve">UASB type digesters, floating gas holders with no external water seal
</t>
    </r>
    <r>
      <rPr>
        <b/>
        <sz val="11"/>
        <color theme="1"/>
        <rFont val="Calibri"/>
        <family val="2"/>
        <scheme val="minor"/>
      </rPr>
      <t xml:space="preserve">Option C- </t>
    </r>
    <r>
      <rPr>
        <sz val="11"/>
        <color theme="1"/>
        <rFont val="Calibri"/>
        <family val="2"/>
        <scheme val="minor"/>
      </rPr>
      <t xml:space="preserve">Digesters with unlined concrete/ferrocement/brick masonry arched type gas holding section; monolithic fixed dome digesters, covered anaerobic lagoon
</t>
    </r>
    <r>
      <rPr>
        <b/>
        <sz val="11"/>
        <color theme="1"/>
        <rFont val="Calibri"/>
        <family val="2"/>
        <scheme val="minor"/>
      </rPr>
      <t xml:space="preserve">Option D- </t>
    </r>
    <r>
      <rPr>
        <sz val="11"/>
        <color theme="1"/>
        <rFont val="Calibri"/>
        <family val="2"/>
        <scheme val="minor"/>
      </rPr>
      <t>Other</t>
    </r>
  </si>
  <si>
    <t xml:space="preserve">EFCH4,default </t>
  </si>
  <si>
    <t>Default emission factor for the fraction of CH4 produced that leaks from the anaerobic digester (fraction)</t>
  </si>
  <si>
    <t>Dependent on response from F59</t>
  </si>
  <si>
    <t xml:space="preserve">GWPCH4 </t>
  </si>
  <si>
    <t>Global warming potential of CH4 (t CO2 / t CH4)</t>
  </si>
  <si>
    <t>Project emissions from flaring of biogas (PEflare,y)</t>
  </si>
  <si>
    <t>Comes from Tool 06</t>
  </si>
  <si>
    <t xml:space="preserve">Leakage emissions </t>
  </si>
  <si>
    <t xml:space="preserve">LEAD,y </t>
  </si>
  <si>
    <t>Leakage emissions associated with the anaerobic digester in year y (t CO2e)</t>
  </si>
  <si>
    <t xml:space="preserve">LEstorage,y </t>
  </si>
  <si>
    <t>Leakage emissions associated with storage of digestate in year y (t CO2e)</t>
  </si>
  <si>
    <t xml:space="preserve">LEcomp,y </t>
  </si>
  <si>
    <t>Leakage emissions associated with composting digestate in year y (t CO2e)</t>
  </si>
  <si>
    <t>Tool 13</t>
  </si>
  <si>
    <t>Leakage emissions associated with storage of 
liquid digestate (LEstorage,y) (Monitored Data)</t>
  </si>
  <si>
    <t xml:space="preserve">Qstored,y </t>
  </si>
  <si>
    <t>Amount of liquid digestate stored anaerobically in year y (m3 )</t>
  </si>
  <si>
    <t xml:space="preserve">PCOD,y </t>
  </si>
  <si>
    <t>Average chemical oxygen demand (COD) of the liquid digestate in year y (t COD / m3 )</t>
  </si>
  <si>
    <t xml:space="preserve">B0 </t>
  </si>
  <si>
    <t>Maximum methane producing capacity of the COD applied (t CH4 / t COD)</t>
  </si>
  <si>
    <t xml:space="preserve">MCF </t>
  </si>
  <si>
    <t>For methane conversion factor calculation purposes select the depth of liquid digestate storage:</t>
  </si>
  <si>
    <t>≥ 2 m</t>
  </si>
  <si>
    <t xml:space="preserve">Methane conversion factor </t>
  </si>
  <si>
    <t>Dependent on response from F73</t>
  </si>
  <si>
    <t>Leakage emissions associated with storage of 
liquid digestate (LEstorage,y) (Default Value)</t>
  </si>
  <si>
    <r>
      <t xml:space="preserve">In order to calculate the default factor representing the remaining methane production capacity of liquid digestate select one of the following options: 
</t>
    </r>
    <r>
      <rPr>
        <b/>
        <sz val="11"/>
        <color theme="1"/>
        <rFont val="Calibri"/>
        <family val="2"/>
        <scheme val="minor"/>
      </rPr>
      <t xml:space="preserve">Option 1- </t>
    </r>
    <r>
      <rPr>
        <sz val="11"/>
        <color theme="1"/>
        <rFont val="Calibri"/>
        <family val="2"/>
        <scheme val="minor"/>
      </rPr>
      <t xml:space="preserve">Covered anaerobic lagoons
</t>
    </r>
    <r>
      <rPr>
        <b/>
        <sz val="11"/>
        <color theme="1"/>
        <rFont val="Calibri"/>
        <family val="2"/>
        <scheme val="minor"/>
      </rPr>
      <t>Option 2-</t>
    </r>
    <r>
      <rPr>
        <sz val="11"/>
        <color theme="1"/>
        <rFont val="Calibri"/>
        <family val="2"/>
        <scheme val="minor"/>
      </rPr>
      <t xml:space="preserve"> UASB type digesters / Anaerobic filter bed digesters /Anaerobic fluidized bed digester
</t>
    </r>
    <r>
      <rPr>
        <b/>
        <sz val="11"/>
        <color theme="1"/>
        <rFont val="Calibri"/>
        <family val="2"/>
        <scheme val="minor"/>
      </rPr>
      <t>Option 3-</t>
    </r>
    <r>
      <rPr>
        <sz val="11"/>
        <color theme="1"/>
        <rFont val="Calibri"/>
        <family val="2"/>
        <scheme val="minor"/>
      </rPr>
      <t xml:space="preserve"> Conventional digesters
</t>
    </r>
    <r>
      <rPr>
        <b/>
        <sz val="11"/>
        <color theme="1"/>
        <rFont val="Calibri"/>
        <family val="2"/>
        <scheme val="minor"/>
      </rPr>
      <t xml:space="preserve">Option 4- </t>
    </r>
    <r>
      <rPr>
        <sz val="11"/>
        <color theme="1"/>
        <rFont val="Calibri"/>
        <family val="2"/>
        <scheme val="minor"/>
      </rPr>
      <t>Two stage digesters</t>
    </r>
  </si>
  <si>
    <t xml:space="preserve">Fww,CH4,default </t>
  </si>
  <si>
    <t>Default factor representing the remaining methane production capacity of liquid digestate (fraction)</t>
  </si>
  <si>
    <t>Dependent on response from F78</t>
  </si>
  <si>
    <t>Leakage emissions associated with storage of 
solid digestate (LEstorage,y) (Default Values)</t>
  </si>
  <si>
    <r>
      <t xml:space="preserve">In order to calculate the default factor for the methane generation capacity of solid digestate select one of the following options:
</t>
    </r>
    <r>
      <rPr>
        <b/>
        <sz val="11"/>
        <color theme="1"/>
        <rFont val="Calibri"/>
        <family val="2"/>
        <scheme val="minor"/>
      </rPr>
      <t xml:space="preserve">Option 1- </t>
    </r>
    <r>
      <rPr>
        <sz val="11"/>
        <color theme="1"/>
        <rFont val="Calibri"/>
        <family val="2"/>
        <scheme val="minor"/>
      </rPr>
      <t xml:space="preserve">Two phase digester 
</t>
    </r>
    <r>
      <rPr>
        <b/>
        <sz val="11"/>
        <color theme="1"/>
        <rFont val="Calibri"/>
        <family val="2"/>
        <scheme val="minor"/>
      </rPr>
      <t>Option 2-</t>
    </r>
    <r>
      <rPr>
        <sz val="11"/>
        <color theme="1"/>
        <rFont val="Calibri"/>
        <family val="2"/>
        <scheme val="minor"/>
      </rPr>
      <t xml:space="preserve"> All other technologies</t>
    </r>
  </si>
  <si>
    <t xml:space="preserve">FSD,CH4,default </t>
  </si>
  <si>
    <t>Default factor for the methane generation capacity of solid digestate (fraction)</t>
  </si>
  <si>
    <t>Dependent on response from F85</t>
  </si>
  <si>
    <t>Global warming potential of CH4 (t CO2/t CH4)</t>
  </si>
  <si>
    <t>Leakage emissions associated with storage of 
solid digestate (LEstorage,y) (Monitored Values)</t>
  </si>
  <si>
    <t>Tool 04</t>
  </si>
  <si>
    <t xml:space="preserve">What is the scale of the project </t>
  </si>
  <si>
    <t>Small or Micro</t>
  </si>
  <si>
    <t xml:space="preserve">Are biomass residues consumed in a CDM project activity, and the biomass residues can be utilized after processing or without processing? </t>
  </si>
  <si>
    <t xml:space="preserve">Do the project activities include biomass cultivation? </t>
  </si>
  <si>
    <t>Does the land on which biomass is cultivated contain wetlands?</t>
  </si>
  <si>
    <t>Does the land on which biomass is cultivated contain organic soils?</t>
  </si>
  <si>
    <t>Is the land on which biomass is cultivated subjected to flood irrigation?</t>
  </si>
  <si>
    <t>Does the land on which biomass is cultivated contain forest or contained forest since 31 December 1989?</t>
  </si>
  <si>
    <t xml:space="preserve">Is desalination a substantial source of water in the host country? </t>
  </si>
  <si>
    <t xml:space="preserve">Does the land on which biomass is cultivated contain a forest plantation? </t>
  </si>
  <si>
    <t xml:space="preserve">Will the forest plantation be harvested before the start of the project and the land be neither reforested nor will regenerate on its own into a forest in the absence of the project activity? </t>
  </si>
  <si>
    <t>Identify and describe realistic and credible alternatives with regard to the possible land use scenarios that would occur in the absence of the project activity.</t>
  </si>
  <si>
    <t xml:space="preserve">String </t>
  </si>
  <si>
    <t>Assess the economic attractiveness of the existing forest plantation by applying Step 2 of the “TOOL01: Tool for the demonstration and assessment of additionality. Does sensitivity analysis conclude that the proposed CDM project activity is unlikely to be the most financially attractive or is unlikely to be financially attractive?</t>
  </si>
  <si>
    <t xml:space="preserve">Confirm, based on the plantation management practices in the region for the considered species, that it is the common practice to harvest the forest plantation and that the forest will not be reforested or regenerate back to forest in the absence of the project activity. </t>
  </si>
  <si>
    <t>Use relevant credible evidence, including but not limited to official land use maps,
satellite images/aerial photographs, cadastral information, official land use records.</t>
  </si>
  <si>
    <t>Image and/or document upload</t>
  </si>
  <si>
    <t xml:space="preserve">Auto-calculate </t>
  </si>
  <si>
    <t xml:space="preserve">Is the tool being used to calculate project emissions (PE) or leakage emissions (LE)? </t>
  </si>
  <si>
    <t xml:space="preserve">Will project emissions resulting from cultivation of biomass (PEbc,y) be included or omitted? </t>
  </si>
  <si>
    <t>Included</t>
  </si>
  <si>
    <t>Indicate the soil amendment agent type applied</t>
  </si>
  <si>
    <t>Urea</t>
  </si>
  <si>
    <r>
      <t>Will pr</t>
    </r>
    <r>
      <rPr>
        <sz val="11"/>
        <rFont val="Calibri"/>
        <family val="2"/>
        <scheme val="minor"/>
      </rPr>
      <t>oject emissions resulting from energy consumption (electricity and fuel) for biomass seeding and harvesting (PEbsh,ec,y)</t>
    </r>
    <r>
      <rPr>
        <sz val="11"/>
        <color theme="1"/>
        <rFont val="Calibri"/>
        <family val="2"/>
        <scheme val="minor"/>
      </rPr>
      <t xml:space="preserve"> be included or omitted? </t>
    </r>
  </si>
  <si>
    <t>Small scale project activities may, unless otherwise required by the methodology, neglect emissions from energy consumption associated with seeding and harvesting of biomass.</t>
  </si>
  <si>
    <t xml:space="preserve">Will project emissions resulting from transportation of biomass (PEbt,y) be included or omitted? </t>
  </si>
  <si>
    <t xml:space="preserve">Will project emissions resulting from transportation of biomass residues  (PEbrt,y) be included or omitted? </t>
  </si>
  <si>
    <t xml:space="preserve">Will project emissions resulting from processing of biomass (PEbp,y) be included or omitted? </t>
  </si>
  <si>
    <t xml:space="preserve">Will project emissions resulting from processing of biomass residues (PEbrp,y) be included or omitted? </t>
  </si>
  <si>
    <t xml:space="preserve">Is the wastewater originating from the processing of the biomass and biomass residues (partly) treated under anaerobic conditions with the methane from the wastewater not being captured and flared or combusted? </t>
  </si>
  <si>
    <t xml:space="preserve">Will leakage emissions due to shift of pre-project activities resulting from cultivation of biomass in a dedicated plantation (LEbc,y) be included or omitted? </t>
  </si>
  <si>
    <t>Was or would the plantation area have been abandoned land prior to the implementation of the project activity?</t>
  </si>
  <si>
    <t>Was the plantation area used prior to the implementation of the project area, but the pre-project land use of the plantation area will be accommodated for, providing at least the same level of service during the project activity, within the land area included in the project boundary?</t>
  </si>
  <si>
    <t>The project area may be expanded to accommodate for this condition.</t>
  </si>
  <si>
    <t xml:space="preserve">Will leakage emissions due to diversion of biomass residues from other
applications (LEbr,div,y) be included or omitted? </t>
  </si>
  <si>
    <t>Indicate the alternative scenario of the biomass residues in absence of the project activity</t>
  </si>
  <si>
    <t>B4: The biomass residues are used for energy or non-energy applications, or the primary source of the biomass residues and/or their fate cannot be clearly identified.</t>
  </si>
  <si>
    <t xml:space="preserve">Will leakage emissions due to the transportation of biomass residues outside
of the project boundary (LEbrt,y) be included or omitted? </t>
  </si>
  <si>
    <t>Omitted</t>
  </si>
  <si>
    <t xml:space="preserve">Will leakage emissions due to  processing of biomass residues outside the
project boundary (LEbrp,y) be included or omitted? </t>
  </si>
  <si>
    <t>PEbc,y</t>
  </si>
  <si>
    <t>Project emissions resulting from cultivation of biomass in a dedicated plantation in year y</t>
  </si>
  <si>
    <t>𝐴fr,𝑖,y</t>
  </si>
  <si>
    <t>Area of stratum i of land subjected to clearance or fire in year y (ha)</t>
  </si>
  <si>
    <t>𝑏i</t>
  </si>
  <si>
    <t>Fuel biomass consumption per hectare in stratum i of land subjected to clearance or fire (t dry matter/ha)</t>
  </si>
  <si>
    <t>Ri</t>
  </si>
  <si>
    <t>Root-shoot ratio (i.e. ratio of below-ground biomass to aboveground biomass) for stratum i of land subjected to clearance or fire</t>
  </si>
  <si>
    <t>𝑃𝐸bby</t>
  </si>
  <si>
    <t>Project emissions resulting from clearance or burning of biomass, in year y (t CO2e)</t>
  </si>
  <si>
    <t>[Click to add stratum]</t>
  </si>
  <si>
    <t xml:space="preserve">Repeat equation 8 for each stratum. </t>
  </si>
  <si>
    <t>𝑃𝐸bsh,ec,y</t>
  </si>
  <si>
    <t>Project emissions resulting from energy consumption (electricity and fuel) for biomass seeding and harvesting in year y (t CO2e)</t>
  </si>
  <si>
    <t xml:space="preserve">𝑃𝐸bsh,𝑒𝑙𝑒𝑐𝑡𝑟𝑖𝑐𝑖𝑡𝑦,𝑦 </t>
  </si>
  <si>
    <t>Project emissions from the consumption of electricity for biomass seeding and harvesting in year y (tCO2e)</t>
  </si>
  <si>
    <t xml:space="preserve">Referenced Parameter </t>
  </si>
  <si>
    <t>𝑃𝐸bsh,𝑓𝑢𝑒𝑙,y</t>
  </si>
  <si>
    <t>Project emissions from the consumption of fossil fuels for biomass seeding and harvesting in year y (tCO2e)</t>
  </si>
  <si>
    <t>𝑃𝐸sa,y</t>
  </si>
  <si>
    <t>Project emissions resulting from soil amendment in year y (t CO2e)</t>
  </si>
  <si>
    <t>𝑞sa.𝑖,y</t>
  </si>
  <si>
    <t>Rate of application of soil amendment agent type i in year y (t/ha)</t>
  </si>
  <si>
    <t>𝐴sa,𝑖,y</t>
  </si>
  <si>
    <t>Area of land in which soil amendment agent type i is applied in year y (ha)</t>
  </si>
  <si>
    <t>𝐸𝐹sa,i,y</t>
  </si>
  <si>
    <t>Emission factor for CO2 emissions from application of soil amendment agent type i (t CO2e/t)</t>
  </si>
  <si>
    <t>Default values for limestone (0.12 t CO2e/t), dolomite (0.13 t CO2e/t) and urea (0.20 t CO2e/t) shall be used</t>
  </si>
  <si>
    <t xml:space="preserve">Repeat equation 6 for each stratum. </t>
  </si>
  <si>
    <t>𝑃𝐸sf,y</t>
  </si>
  <si>
    <t>Project emissions resulting from of soil fertilization and management in year y (t CO2e)</t>
  </si>
  <si>
    <t>𝑞n,y</t>
  </si>
  <si>
    <t>Rate of nitrogen applied in year y (t N/ha)</t>
  </si>
  <si>
    <t>𝐴ftm,y</t>
  </si>
  <si>
    <t>Area of land subjected to soil fertilization and management in year y (ha)</t>
  </si>
  <si>
    <t>𝐸𝐹ft</t>
  </si>
  <si>
    <t xml:space="preserve">Aggregate emission factor for N2O and CO2 emissions resulting from production and application of nitrogen (t CO2e/(t N)). </t>
  </si>
  <si>
    <t>Fixed default</t>
  </si>
  <si>
    <t xml:space="preserve">A default value of 11.29 t CO2e/(t N) shall be used. </t>
  </si>
  <si>
    <t>𝑃𝐸sm,y</t>
  </si>
  <si>
    <t>Project emissions resulting from soil management in year y</t>
  </si>
  <si>
    <t>Project emissions resulting from soil management in year y (tCO2e)</t>
  </si>
  <si>
    <t xml:space="preserve">∆𝑆𝑂𝐶𝑖 </t>
  </si>
  <si>
    <t>Loss of soil organic carbon in land stratum i ( t C)</t>
  </si>
  <si>
    <t>𝐴soc,i</t>
  </si>
  <si>
    <t>Area of land stratum i (ha)</t>
  </si>
  <si>
    <t>𝑆𝑂𝐶ref,i</t>
  </si>
  <si>
    <t>Reference SOC stock applicable to land stratum i (t C/ha)</t>
  </si>
  <si>
    <t>See Table 1 in defaults tab. After the first crediting period of the project, the value of PESOC,y shall be 0.</t>
  </si>
  <si>
    <t>𝑓lub,i</t>
  </si>
  <si>
    <t>Relative stock change factor for land-use in the baseline in stratum i</t>
  </si>
  <si>
    <t xml:space="preserve">See Tables 2-4 in defaults tab. </t>
  </si>
  <si>
    <t>𝑓mgb,i</t>
  </si>
  <si>
    <t>Relative stock change factor for land management in the baseline in stratum i</t>
  </si>
  <si>
    <t xml:space="preserve">See Table 2-4 in defaults tab. </t>
  </si>
  <si>
    <t>𝑓inb,i</t>
  </si>
  <si>
    <t>Relative stock change factor for input in the baseline in stratum i</t>
  </si>
  <si>
    <t>𝑓lup,i</t>
  </si>
  <si>
    <t>Relative stock change factor for land-use in the project in stratum i</t>
  </si>
  <si>
    <t>𝑓mgp,i</t>
  </si>
  <si>
    <t>Relative stock change factor for land management in the project in stratum i</t>
  </si>
  <si>
    <t>𝑓inp,i</t>
  </si>
  <si>
    <t>Relative stock change factor for input in the project in stratum i</t>
  </si>
  <si>
    <t xml:space="preserve">The totals of these results are summed by </t>
  </si>
  <si>
    <t xml:space="preserve">Repeat equation 3 for each stratum but do not sum. These will be summed by equation 2. </t>
  </si>
  <si>
    <t>𝑃𝐸soc,y</t>
  </si>
  <si>
    <t>Project emissions resulting from loss of soil organic carbon in year y (tCO2e)</t>
  </si>
  <si>
    <t>T</t>
  </si>
  <si>
    <t xml:space="preserve">Length of the first crediting period of the project in years </t>
  </si>
  <si>
    <t>For each stratum of the areas of land which is subjected to soil disturbance attributable to project activity and for which the total area disturbed is less than 10% of the area of the stratum, emissions resulting from loss of soil organic carbon may be accounted as zero. After the first crediting period of the project, the value of PESOC,y shall be 0.</t>
  </si>
  <si>
    <t>Biomass originating from land areas included in registered afforestation/reforestation (A/R) project activities may be considered to have no project emissions, provided that the emission reductions from the A/R project activity have been verified and issued for the time period in which the biomass was harvested.</t>
  </si>
  <si>
    <t>PEbt,y and PEbrt,y</t>
  </si>
  <si>
    <t>Project emissions resulting from transportation of biomass in year y and Project emissions resulting from transportation of biomass residues in year y</t>
  </si>
  <si>
    <t>As an alternative to the monitoring of the parameters needed to calculate the emissions from the transportation, project proponents may apply the following options: (a) For microscale and small-scale project activities, apply a default emission factor of
0.0142 tCO2/tonne of biomass. (b) For large-scale project activities, apply a net-to-gross adjustment of 10% , i.e. multiply the emission reductions determined based on the applied methodology by 0.9 to determine the final amount of emission reductions that can be claimed
0.9 to determine the final amount of emission reductions that can be claimed</t>
  </si>
  <si>
    <t>PEbt,y</t>
  </si>
  <si>
    <t>Project emissions resulting from transportation of biomass in year y</t>
  </si>
  <si>
    <t>(i) If the biomass produced is utilized without further processing, the route shall include only the transport of the biomass between the biomass production site and the biomass utilization facility;
(ii) If the biomass is processed before being utilized, the routes shall include the transport between (i) the biomass production site and the biomass processing facility, and (ii) the biomass processing facility and the biomass utilization facility;</t>
  </si>
  <si>
    <t>PEbrt,y</t>
  </si>
  <si>
    <t>Project emissions resulting from transportation of biomass residues in year y</t>
  </si>
  <si>
    <t>(i) If the biomass residues are consumed without further processing, the route shall include only the transport of the biomass residues between the biomass processing facility or the biomass generation site and the biomass residues
utilization facility; (ii) If the biomass residues are processed before being utilized, the routes shall include the transport between (i) the biomass processing facility or the biomass generation site and the biomass residues processing facility, and (ii) the biomass residues processing facility and the biomass residues utilization facility</t>
  </si>
  <si>
    <t>PEbp,y and PEbrp,y</t>
  </si>
  <si>
    <t>Project emissions resulting from processing of biomass in year y and Project emissions resulting from processing of biomass residues in year y</t>
  </si>
  <si>
    <t>𝑃𝐸bp,𝑎𝑑𝑑𝑖𝑡𝑖𝑣𝑒𝑠,𝑡𝑟𝑎𝑛𝑠𝑝𝑜𝑟t</t>
  </si>
  <si>
    <t>Project emissions from the transportation of the additives from the production site to the biomass processing facility (tCO2)</t>
  </si>
  <si>
    <t>The simplifications contained in paragraph 31 also apply.</t>
  </si>
  <si>
    <t>𝑃𝐸bp,𝑎𝑑𝑑𝑖𝑡𝑖𝑣𝑒𝑠,𝑒𝑙𝑒𝑐𝑡𝑟𝑖𝑐𝑖𝑡𝑦,y</t>
  </si>
  <si>
    <t>Project emissions from the consumption of electricity to produce the additives used by the biomass processing facility (tCO2)</t>
  </si>
  <si>
    <t>𝑃𝐸bp,𝑎𝑑𝑑𝑖𝑡𝑖𝑣𝑒𝑠,𝐹𝐹,y</t>
  </si>
  <si>
    <t>Project emissions from the consumption of fossil fuels to produce the additives used by the biomass processing facility (tCO2)</t>
  </si>
  <si>
    <t>𝑃𝐸bp,additives,y</t>
  </si>
  <si>
    <t>Project emissions resulting from the use of additives to process the biomass in year y (tCO2e)</t>
  </si>
  <si>
    <t>As an alternative to the monitoring of the parameters needed to calculate 𝑃𝐸𝐵𝑃,𝑎𝑑𝑑𝑖𝑡𝑖𝑣𝑒𝑠,𝑦 and 𝑃𝐸𝐵𝑅𝑃,𝑎𝑑𝑑𝑖𝑡𝑖𝑣𝑒𝑠,𝑦, project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Project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Project proponents may determine these emission sources based on literature such as peer reviewed studies.</t>
  </si>
  <si>
    <t>Global warming potential for methane valid for the relevant commitment period (tCO2/tCH4)</t>
  </si>
  <si>
    <t>𝑉bp,𝑤𝑤,y</t>
  </si>
  <si>
    <t>Quantity of wastewater generated from the processing of biomass in year y (m³)</t>
  </si>
  <si>
    <t>𝐶𝑂𝐷bp,𝑤𝑤,y</t>
  </si>
  <si>
    <t>Average chemical oxygen demand of the wastewater generated from the processing of biomass in year y (tCOD/m³)</t>
  </si>
  <si>
    <t>𝐵𝑜,ww</t>
  </si>
  <si>
    <t>Methane generation potential of the wastewater (t CH4/tCOD)</t>
  </si>
  <si>
    <t>𝑀𝐶𝐹bp,𝑤w</t>
  </si>
  <si>
    <t>Methane correction factor for the treatment of wastewater generated from the processing of biomass in year y (ratio)</t>
  </si>
  <si>
    <t>𝑃𝐸bp,ww,y</t>
  </si>
  <si>
    <t>Project emissions resulting from wastewater treatment due to thermochemical, biological and mechanical processing of the biomass in year y (tCO2e)</t>
  </si>
  <si>
    <t>𝑃𝐸bp,𝑒𝑙𝑒𝑐𝑡𝑟𝑖𝑐𝑖𝑡𝑦,y</t>
  </si>
  <si>
    <t>Project emissions resulting from the consumption of electricity due to thermo-chemical, biological and mechanical processing of the biomass in year y (tCO2e)</t>
  </si>
  <si>
    <t>𝑃𝐸bp,fuel,y</t>
  </si>
  <si>
    <t>Project emissions resulting from the consumption of fossil fuels for thermo-chemical, biological and mechanical processing of the biomass in year y (tCO2e)</t>
  </si>
  <si>
    <t>𝑃𝐸bp,𝐶𝐻4,y</t>
  </si>
  <si>
    <t>Project methane emissions resulting from the decay of biomass under anaerobic conditions as a result of thermo-chemical, biological and mechanical processing in year y (tCO2e)</t>
  </si>
  <si>
    <t>𝑃𝐸bp,comp,y</t>
  </si>
  <si>
    <t>Project emissions resulting from composting due to thermo-chemical, biological and mechanical processing of the biomass in year y (tCO2e)</t>
  </si>
  <si>
    <t>𝑃𝐸bp,ad,y</t>
  </si>
  <si>
    <t>Project emissions resulting from the anaerobic digester due to thermochemical, biological and mechanical processing of the biomass in year y (tCO2e)</t>
  </si>
  <si>
    <t>PEbp,y</t>
  </si>
  <si>
    <t>Project emissions resulting from processing of biomass in year y</t>
  </si>
  <si>
    <t>𝑃𝐸brp,𝑎𝑑𝑑𝑖𝑡𝑖𝑣𝑒𝑠,𝑡𝑟𝑎𝑛𝑠𝑝𝑜𝑟t</t>
  </si>
  <si>
    <t>Project emissions from the transportation of the additives from the production site to the biomass residues processing facility (tCO2)</t>
  </si>
  <si>
    <t>𝑃𝐸brp,𝑎𝑑𝑑𝑖𝑡𝑖𝑣𝑒𝑠,𝑒𝑙𝑒𝑐𝑡𝑟𝑖𝑐𝑖𝑡𝑦,y</t>
  </si>
  <si>
    <t>Project emissions from the consumption of electricity to produce the additives used by the biomass residues processing facility (tCO2)</t>
  </si>
  <si>
    <t>𝑃𝐸brp,𝑎𝑑𝑑𝑖𝑡𝑖𝑣𝑒𝑠,𝐹𝐹,y</t>
  </si>
  <si>
    <t>Project emissions from the consumption of fossil fuels to produce the additives used by the biomass residues processing facility (tCO2)</t>
  </si>
  <si>
    <t>𝑃𝐸brp,additives,y</t>
  </si>
  <si>
    <t>Project emissions resulting from the use of additives to process the biomass residues in year y (tCO2e)</t>
  </si>
  <si>
    <t>𝑉brp,𝑤𝑤,y</t>
  </si>
  <si>
    <t>Quantity of wastewater generated from the processing of biomass residues in year y (m³)</t>
  </si>
  <si>
    <t>𝐶𝑂𝐷brp,𝑤𝑤,y</t>
  </si>
  <si>
    <t>Average chemical oxygen demand of the wastewater generated from the processing of biomass residues in year y (tCOD/m³)</t>
  </si>
  <si>
    <t>𝑀𝐶𝐹brp,𝑤w</t>
  </si>
  <si>
    <t>Methane correction factor for the treatment of wastewater generated from the processing of biomass residues in year y (ratio)</t>
  </si>
  <si>
    <t>𝑃𝐸brp,ww,y</t>
  </si>
  <si>
    <t>Project emissions resulting from wastewater treatment due to thermochemical, biological and mechanical processing of the biomass residues in year y (tCO2e)</t>
  </si>
  <si>
    <t>𝑃𝐸brp,𝑒𝑙𝑒𝑐𝑡𝑟𝑖𝑐𝑖𝑡𝑦,y</t>
  </si>
  <si>
    <t>Project emissions resulting from the consumption of electricity due to thermo-chemical, biological and mechanical processing of the biomass residues in year y (tCO2e)</t>
  </si>
  <si>
    <t>𝑃𝐸brp,fuel,y</t>
  </si>
  <si>
    <t>Project emissions resulting from the consumption of fossil fuels for thermo-chemical, biological and mechanical processing of the biomass residues in year y (tCO2e)</t>
  </si>
  <si>
    <t>𝑃𝐸brp,𝐶𝐻4,y</t>
  </si>
  <si>
    <t>Project methane emissions resulting from the decay of biomass residues under anaerobic conditions as a result of thermo-chemical, biological and mechanical processing in year y (tCO2e)</t>
  </si>
  <si>
    <t>𝑃𝐸brp,comp,y</t>
  </si>
  <si>
    <t>Project emissions resulting from composting due to thermo-chemical, biological and mechanical processing of the biomass residues in year y (tCO2e)</t>
  </si>
  <si>
    <t>𝑃𝐸brp,ad,y</t>
  </si>
  <si>
    <t>Project emissions resulting from the anaerobic digester due to thermochemical, biological and mechanical processing of the biomass residues in year y (tCO2e)</t>
  </si>
  <si>
    <t>PEbrp,y</t>
  </si>
  <si>
    <t>Project emissions resulting from processing of biomass residues in year y</t>
  </si>
  <si>
    <t>LEbc,y</t>
  </si>
  <si>
    <t xml:space="preserve">Leakage due to shift of pre-project activities resulting from cultivation of biomass in a dedicated plantation in year y </t>
  </si>
  <si>
    <t>Percentage of families/households of the community involved in or affected by the project activity displaced (from within to outside of the project boundary) due to the project activity</t>
  </si>
  <si>
    <t>Percentage of total production of the main product (e.g. meat, corn) within the project boundary displaced due to the cultivation of biomass</t>
  </si>
  <si>
    <t xml:space="preserve">The BE and PE parameters can be found in the mainframe schema. </t>
  </si>
  <si>
    <t>LEbr,div,y</t>
  </si>
  <si>
    <t>Leakage due to diversion of biomass residues from other applications in year y</t>
  </si>
  <si>
    <t>𝐸𝐹co2,le</t>
  </si>
  <si>
    <t>CO2 emission factor of the most carbon intensive fossil fuel used in the country (t CO2/GJ)</t>
  </si>
  <si>
    <t>𝐵𝑅pj,𝑛,y</t>
  </si>
  <si>
    <t>Quantity of biomass residues of category n used in facilities which are located at the project site and included in the project boundary in year y (tonnes on dry-basis)</t>
  </si>
  <si>
    <t>The determination of BRpj,n,y shall be based on the monitored amounts of biomass residues used in facilities included in the project boundary.</t>
  </si>
  <si>
    <t>𝑁𝐶𝑉𝑛,y</t>
  </si>
  <si>
    <t>Net calorific value of the biomass residues of category n in year y (GJ/tonne of dry matter)</t>
  </si>
  <si>
    <t xml:space="preserve">The main potential source of leakage due to biomass residues is an increase in emissions from fossil fuel combustion or other sources due to diversion of biomass residues from other uses to the project plant as a result of the project activity. The alternative scenario for biomass residues for which this potential leakage is relevant is B4. 
The actual leakage emissions in each of these cases may differ significantly and depend on the specific situation of each project activity. For that reason, a simplified approach is used in this tool: it is assumed that an equivalent amount of fossil fuels, on energy basis, would be used if biomass residues are diverted from other users, no matter what the use of biomass residues would be in the alternative scenario.
Therefore, for the categories of biomass residues whose alternative scenario has been identified as B4. </t>
  </si>
  <si>
    <t>[Click to add category of biomass residues]</t>
  </si>
  <si>
    <t>Repeat equation 15 for each residue category.</t>
  </si>
  <si>
    <t>LEbrt,y</t>
  </si>
  <si>
    <t>Leakage due to the transportation of biomass residues outside of the project boundary in year y</t>
  </si>
  <si>
    <t>LEbrp,y</t>
  </si>
  <si>
    <t>Leakage due to processing of biomass residues outside the project boundary in year y</t>
  </si>
  <si>
    <t>LEbrp,𝑎𝑑𝑑𝑖𝑡𝑖𝑣𝑒𝑠,𝑡𝑟𝑎𝑛𝑠𝑝𝑜𝑟t</t>
  </si>
  <si>
    <t>Leakage emissions from the transportation of the additives from the production site to the biomass residues processing facility (tCO2)</t>
  </si>
  <si>
    <t>LEbrp,𝑎𝑑𝑑𝑖𝑡𝑖𝑣𝑒𝑠,𝑒𝑙𝑒𝑐𝑡𝑟𝑖𝑐𝑖𝑡𝑦,y</t>
  </si>
  <si>
    <t>Leakage emissions from the consumption of electricity to produce the additives used by the biomass residues processing facility (tCO2)</t>
  </si>
  <si>
    <t>LEbrp,𝑎𝑑𝑑𝑖𝑡𝑖𝑣𝑒𝑠,𝐹𝐹,y</t>
  </si>
  <si>
    <t>Leakage emissions from the consumption of fossil fuels to produce the additives used by the biomass residues processing facility (tCO2)</t>
  </si>
  <si>
    <t>LEbrp,additives,y</t>
  </si>
  <si>
    <t>Leakage emissions resulting from the use of additives to process the biomass residues in year y (tCO2e)</t>
  </si>
  <si>
    <t>As an alternative to the monitoring of the parameters needed to calculate LE𝐵𝑃,𝑎𝑑𝑑𝑖𝑡𝑖𝑣𝑒𝑠,𝑦 and LE𝐵𝑅𝑃,𝑎𝑑𝑑𝑖𝑡𝑖𝑣𝑒𝑠,𝑦, Leakage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Leakage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Leakage proponents may determine these emission sources based on literature such as peer reviewed studies.</t>
  </si>
  <si>
    <t>LEbrp,ww,y</t>
  </si>
  <si>
    <t>Leakage emissions resulting from wastewater treatment due to thermochemical, biological and mechanical processing of the biomass residues in year y (tCO2e)</t>
  </si>
  <si>
    <t>L𝐸brp,𝑒𝑙𝑒𝑐𝑡𝑟𝑖𝑐𝑖𝑡𝑦,y</t>
  </si>
  <si>
    <t>Leakage emissions resulting from the consumption of electricity due to thermo-chemical, biological and mechanical processing of the biomass residues in year y (tCO2e)</t>
  </si>
  <si>
    <t>L𝐸brp,fuel,y</t>
  </si>
  <si>
    <t>Leakage emissions resulting from the consumption of fossil fuels for thermo-chemical, biological and mechanical processing of the biomass residues in year y (tCO2e)</t>
  </si>
  <si>
    <t>L𝐸brp,𝐶𝐻4,y</t>
  </si>
  <si>
    <t>Leakage methane emissions resulting from the decay of biomass residues under anaerobic conditions as a result of thermo-chemical, biological and mechanical processing in year y (tCO2e)</t>
  </si>
  <si>
    <t>L𝐸brp,comp,y</t>
  </si>
  <si>
    <t>Leakage emissions resulting from composting due to thermo-chemical, biological and mechanical processing of the biomass residues in year y (tCO2e)</t>
  </si>
  <si>
    <t>L𝐸brp,ad,y</t>
  </si>
  <si>
    <t>Leakage emissions resulting from the anaerobic digester due to thermochemical, biological and mechanical processing of the biomass residues in year y (tCO2e)</t>
  </si>
  <si>
    <t>Leakage emissions resulting from processing of biomass residues in year y</t>
  </si>
  <si>
    <t>[Click to add year]</t>
  </si>
  <si>
    <t xml:space="preserve">Add a new calculation/instance of this tool for each additional year. Sum the years to get the totals for project or leakage emissions (see summary tab). </t>
  </si>
  <si>
    <t>Project Emissions (PE) from Biomass</t>
  </si>
  <si>
    <t>Total for Year Y</t>
  </si>
  <si>
    <t>Included or Omitted</t>
  </si>
  <si>
    <t xml:space="preserve">Applicability </t>
  </si>
  <si>
    <t>Length of the first crediting period of the project in years</t>
  </si>
  <si>
    <t>Level of the management activities on cropland</t>
  </si>
  <si>
    <t>Temperature regime of the cropland</t>
  </si>
  <si>
    <t>Moisture regime of the cropland</t>
  </si>
  <si>
    <t>Soil amendment agent type</t>
  </si>
  <si>
    <t xml:space="preserve">Project Scale </t>
  </si>
  <si>
    <t>Alternative scenario of the biomass residues</t>
  </si>
  <si>
    <t xml:space="preserve">Applicable </t>
  </si>
  <si>
    <t>Long-term cultivated</t>
  </si>
  <si>
    <t>Cool temperate</t>
  </si>
  <si>
    <t>Dry</t>
  </si>
  <si>
    <t>Limestone</t>
  </si>
  <si>
    <t>B1: The biomass residues are dumped or left to decay mainly under aerobic conditions. This applies, for example, to dumping and decay of biomass residues on fields.</t>
  </si>
  <si>
    <t xml:space="preserve">Not Applicable </t>
  </si>
  <si>
    <t>Set aside (&lt; 20 yrs)</t>
  </si>
  <si>
    <t>Warm temperate</t>
  </si>
  <si>
    <t>Moist</t>
  </si>
  <si>
    <t>Dolomite</t>
  </si>
  <si>
    <t xml:space="preserve">B2: The biomass residues are dumped or left to decay under clearly anaerobic conditions. This applies, for example, to landfills which are deeper than five meters. This does not apply to biomass residues that are stock-piled or left to decay on fields. </t>
  </si>
  <si>
    <t>Full tillage</t>
  </si>
  <si>
    <t>Temperate</t>
  </si>
  <si>
    <t>Moist/Wet</t>
  </si>
  <si>
    <t xml:space="preserve">B3: The biomass residues are burnt in an uncontrolled manner without utilizing it for energy purposes. </t>
  </si>
  <si>
    <t>Reduced tillage</t>
  </si>
  <si>
    <t>Boreal</t>
  </si>
  <si>
    <t>Wet</t>
  </si>
  <si>
    <t>No-tillage</t>
  </si>
  <si>
    <t>Tropical montane</t>
  </si>
  <si>
    <t xml:space="preserve">Select the applicable project type. </t>
  </si>
  <si>
    <t>Type I: Project activities up to 5 MW that employ renewable energy as their primary technology.</t>
  </si>
  <si>
    <t xml:space="preserve">Does the project involve multiple components? </t>
  </si>
  <si>
    <t xml:space="preserve">Yes </t>
  </si>
  <si>
    <t xml:space="preserve">Does each component meet the microscale threshold?  </t>
  </si>
  <si>
    <t xml:space="preserve">Must be yes </t>
  </si>
  <si>
    <t xml:space="preserve">Do the sums of each component type meet the respective microscale thresholds?  </t>
  </si>
  <si>
    <t xml:space="preserve">Does the project involve technologies/measures included in approved methodologies “AMS-III.V: Decrease of coke consumption in blast furnace by installing dust/sludge recycling system in steel works”, “AMS-III.P: Recovery and utilization of waste gas in refinery facilities”, “AMS-III.Q: Waste Energy Recovery (gas/heat/pressure) Projects” or “AMS-III.W: Methane capture and destruction in non-hydrocarbon mining activities”? </t>
  </si>
  <si>
    <t>Must be no</t>
  </si>
  <si>
    <t xml:space="preserve">Do the results of "TOOL 20: Assessment of debundling for SSC project activities" deem the project to be either 1) a debundled component of a large-scale activity but can qualify, or 2) not a debundled component of a large-scale activity? </t>
  </si>
  <si>
    <t xml:space="preserve">Type I: Project activities up to 5 MW that employ renewable energy as their primary technology. </t>
  </si>
  <si>
    <t>One must be additional</t>
  </si>
  <si>
    <t xml:space="preserve">The geographic location of the project activity in one of the least developed countries or the small island developing States (LDCs/SIDS) or in a SUZ of the host country? </t>
  </si>
  <si>
    <t xml:space="preserve">If yes, additional </t>
  </si>
  <si>
    <t xml:space="preserve">Is the project activity an off-grid activity supplying energy to households/communities (less than 12 hours’ grid availability per 24 hours is also considered “off-grid” for this assessment)? </t>
  </si>
  <si>
    <t xml:space="preserve">Does the project activity consist of a qualifying technology/measure for distributed energy generation (not connected to a national or regional grid) where end users are households, communities or small and medium-sized enterprises (SMEs)? </t>
  </si>
  <si>
    <t xml:space="preserve">Does the project activity employ specific renewable energy technologies/measures recommended by the host country designated national authority (DNA) and approved by the Board to be additional in the host country? See Help Text for conditions that shall apply for DNA recommendations. </t>
  </si>
  <si>
    <t xml:space="preserve">Type II: Energy efficiency project activities that aim to achieve energy savings at a scale of no more than 20 GWh per year. </t>
  </si>
  <si>
    <t xml:space="preserve">Is the geographic location of the project activity is in an LDC/SIDS or SUZ of the host country? </t>
  </si>
  <si>
    <t>Does the project activity consist of one or more of the following technology/measures related to energy efficiency where end users of the technology/measure are households, communities or SMEs? (i) High efficiency biomass fired devices (e.g. energy efficient cookstoves; (ii) Micro-irrigation systems; (iii) Energy efficient pump-set for agriculture.</t>
  </si>
  <si>
    <t>Type III: Other project activities not included in Type I or Type II that aim to achieve GHG emissions reductions at a scale of no more than 20 ktCO2e per year.</t>
  </si>
  <si>
    <t>Does the project activity consist of one or more of the following technology/measures related to an emission reduction activity where end users of the technology/measure are households, communities, or SMEs? i) Solar lamps; ii) Biogas digesters.</t>
  </si>
  <si>
    <t>Determination of penetration of proposed technology/measure</t>
  </si>
  <si>
    <t>Indicate the market penetration of the proposed technology based on annual sales of units, in the applicable geographic area.</t>
  </si>
  <si>
    <t>Blank</t>
  </si>
  <si>
    <t xml:space="preserve">If &lt;= 2.5%, additional </t>
  </si>
  <si>
    <t>Indicate the market penetration of the proposed technology based on stock of units, in the applicable geographic area.</t>
  </si>
  <si>
    <t xml:space="preserve">If &lt;= 1.5%, additional </t>
  </si>
  <si>
    <t xml:space="preserve">Final Result </t>
  </si>
  <si>
    <t>Applicable Project Types</t>
  </si>
  <si>
    <t>Yes/No</t>
  </si>
  <si>
    <t>Type II: Energy efficiency project activities that aim to achieve energy savings at a scale of no more than 20 GWh per year.</t>
  </si>
  <si>
    <t>TOOL 21: Demonstration of additionality of small_x0002_scale project activities</t>
  </si>
  <si>
    <t xml:space="preserve">Is the information used to complete this form in regards to a PA or CPA? </t>
  </si>
  <si>
    <t>PA</t>
  </si>
  <si>
    <t>Demonstration of additionality of small_x0002_scale project activities for PA</t>
  </si>
  <si>
    <t>Is PA aggregate size &lt;=SSC 
thresholds (15MW, 60GWh/y, 
60ktCO2e/y)?</t>
  </si>
  <si>
    <t>If Yes: Move to question in F6
If No: Use regular additionality procedure</t>
  </si>
  <si>
    <t>Is PA comprised of one or 
more technologies from the 
positive list under TOOL32?</t>
  </si>
  <si>
    <t>If Yes: PA is automatically additional
If No: Move to question in F7</t>
  </si>
  <si>
    <t>Is PA aggregate size &lt;= 
MSC thresholds (5MW, 
20GWh/y, 20ktCO2e/y) under
Tool 19?</t>
  </si>
  <si>
    <t>If Yes: Move to question in F8
If No: Use regular additionality procedure</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</si>
  <si>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</si>
  <si>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PA is automatically additional
If No: Use regular additionality procedure</t>
  </si>
  <si>
    <t>Demonstration of additionality of small_x0002_scale project activities for CPA</t>
  </si>
  <si>
    <t>Is CPA aggregate size &lt;=SSC 
thresholds (15MW, 60GWh/y, 
60ktCO2e/y)?</t>
  </si>
  <si>
    <t>If Yes: Move to question in F11
If No: Move to question in F12</t>
  </si>
  <si>
    <t>Is CPA comprised of one or 
more technologies from the 
positive list under TOOL32?</t>
  </si>
  <si>
    <t>If Yes: CPA is automatically additional
If No: Move to question in F13</t>
  </si>
  <si>
    <t>Is CPA aggregate size &lt;= 
MSC thresholds (5MW, 
20GWh/y, 20ktCO2e/y) under
Tool 19?</t>
  </si>
  <si>
    <t>If Yes: Move to question in F14
If No: Use regular additionality procedure</t>
  </si>
  <si>
    <t>Is CPA comprised of only units of size &lt; = MSC thresholds (5MW, 20GWh/y, 20ktCO2e/y) as specified under MSC additionality Tool 19?</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</si>
  <si>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</si>
  <si>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CPA is automatically additional
If No: Use regular additionality procedure</t>
  </si>
  <si>
    <t>Regular Additionality Procedure</t>
  </si>
  <si>
    <t>Project participants shall provide an explanation to show that the project activity would not have occurred anyway due to at least one of the following barriers:</t>
  </si>
  <si>
    <t>Investment barrier: a financially more viable alternative to the project activity would  have led to higher emissions;</t>
  </si>
  <si>
    <t>Technological barrier: a less technologically advanced alternative to the project activity involves lower risks due to the performance uncertainty or low market share of the new technology adopted for the project activity and so would have led to higher emissions</t>
  </si>
  <si>
    <t>Barrier due to prevailing practice: prevailing practice or existing regulatory or policy requirements would have led to implementation of a technology with higher emissions</t>
  </si>
  <si>
    <t>Other barriers: without the project activity, for another specific reason identified by the project participant, such as institutional barriers or limited information, managerial resources, organizational capacity, financial resources, or capacity to absorb new technologies, emissions would have been higher</t>
  </si>
  <si>
    <t xml:space="preserve">Do the project activities use renewable biomass as a source of energy? </t>
  </si>
  <si>
    <t>Must be yes</t>
  </si>
  <si>
    <t xml:space="preserve">Is the project proposed and registered as a small-scale biomass project and does not yet refer to the methodological tool "Project and leakage emissions from biomass"? </t>
  </si>
  <si>
    <t>Does the underlying methodology used provide different instructions for identifying potentially significant sources of leakage and project emissions for renewable biomass projects?</t>
  </si>
  <si>
    <t>Project boundary for biomass projects</t>
  </si>
  <si>
    <t xml:space="preserve">Indicate the type of biomass being considered by the project? </t>
  </si>
  <si>
    <t>Biomass residues or wastes</t>
  </si>
  <si>
    <t xml:space="preserve">See Table 1 </t>
  </si>
  <si>
    <t xml:space="preserve">Indicate the activity/source being considered by the project? </t>
  </si>
  <si>
    <t>Biomass residues or wastes are collected and used</t>
  </si>
  <si>
    <t>Emission sources to be included</t>
  </si>
  <si>
    <t xml:space="preserve">Shift of pre-project activities </t>
  </si>
  <si>
    <t>See Table 1</t>
  </si>
  <si>
    <t>Emissions from biomass generation/cultivation</t>
  </si>
  <si>
    <t xml:space="preserve">Competing use of biomass </t>
  </si>
  <si>
    <t>Percentage of families/households of the community involved in or affected by the project activity displaced (from within to out of the project boundary) due to the project activity</t>
  </si>
  <si>
    <t>Percentage of total production of the main produce (e.g., meat, corn) within the project boundary displaced due to the generation of renewable biomass</t>
  </si>
  <si>
    <t xml:space="preserve">Leakage from the displacement of activities or people </t>
  </si>
  <si>
    <t>Emissions from the production of the renewable biomass</t>
  </si>
  <si>
    <t>Emissions from application of fertilizer</t>
  </si>
  <si>
    <t>Project emissions from clearance of lands</t>
  </si>
  <si>
    <t xml:space="preserve">Competing uses for the biomass </t>
  </si>
  <si>
    <t xml:space="preserve">Is biomass is generated as part of the project activity (new forests or cultivations)? </t>
  </si>
  <si>
    <t>If yes, NA</t>
  </si>
  <si>
    <t xml:space="preserve">Has it been demonstrated at the beginning of the crediting period that there is a surplus of the biomass in the region of the project activity (e.g., 50 km radius), which is not utilized? </t>
  </si>
  <si>
    <t xml:space="preserve">Emissions competing uses for the biomass </t>
  </si>
  <si>
    <t>Biomass type</t>
  </si>
  <si>
    <t>Activity / source</t>
  </si>
  <si>
    <t>Biomass from forests</t>
  </si>
  <si>
    <t>Existing forests</t>
  </si>
  <si>
    <t>Biomass from croplands or grasslands (woody or nonwoody)</t>
  </si>
  <si>
    <t>New forests</t>
  </si>
  <si>
    <t>In the absence of the project the land would be used as cropland/wetland</t>
  </si>
  <si>
    <t>In the absence of the project the land would be abandoned</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</si>
  <si>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</si>
  <si>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</si>
  <si>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</si>
  <si>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</si>
  <si>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</si>
  <si>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</si>
  <si>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</si>
  <si>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</si>
  <si>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AccountableImpactOrganization.owners</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</si>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</sst>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7">
    <font>
      <sz val="11"/>
      <color theme="1"/>
      <name val="Calibri"/>
      <family val="2"/>
      <scheme val="minor"/>
    </font>
    <font>
      <b/>
      <sz val="11"/>
      <color theme="1"/>
      <name val="Calibri"/>
      <family val="2"/>
      <scheme val="minor"/>
    </font>
    <font>
      <b/>
      <sz val="14"/>
      <color theme="1"/>
      <name val="Calibri"/>
      <family val="2"/>
      <scheme val="minor"/>
    </font>
    <font>
      <b/>
      <i/>
      <sz val="11"/>
      <color theme="1"/>
      <name val="Calibri"/>
      <family val="2"/>
      <scheme val="minor"/>
    </font>
    <font>
      <u/>
      <sz val="11"/>
      <color theme="10"/>
      <name val="Calibri"/>
      <family val="2"/>
      <scheme val="minor"/>
    </font>
    <font>
      <b/>
      <sz val="15"/>
      <color theme="1"/>
      <name val="Calibri"/>
      <family val="2"/>
      <scheme val="minor"/>
    </font>
    <font>
      <sz val="8"/>
      <name val="Calibri"/>
      <family val="2"/>
      <scheme val="minor"/>
    </font>
    <font>
      <vertAlign val="superscript"/>
      <sz val="11"/>
      <color theme="1"/>
      <name val="Calibri"/>
      <family val="2"/>
      <scheme val="minor"/>
    </font>
    <font>
      <sz val="11"/>
      <color theme="1"/>
      <name val="Calibri"/>
      <family val="2"/>
      <scheme val="minor"/>
    </font>
    <font>
      <b/>
      <sz val="14"/>
      <color rgb="FF000000"/>
      <name val="Calibri"/>
      <family val="2"/>
      <scheme val="minor"/>
    </font>
    <font>
      <b/>
      <sz val="16"/>
      <color rgb="FF000000"/>
      <name val="Calibri"/>
      <family val="2"/>
      <scheme val="minor"/>
    </font>
    <font>
      <sz val="18"/>
      <color rgb="FF000000"/>
      <name val="Calibri"/>
      <family val="2"/>
      <scheme val="minor"/>
    </font>
    <font>
      <vertAlign val="subscript"/>
      <sz val="18"/>
      <color rgb="FF000000"/>
      <name val="Calibri"/>
      <family val="2"/>
      <scheme val="minor"/>
    </font>
    <font>
      <sz val="18"/>
      <color theme="1"/>
      <name val="Calibri"/>
      <family val="2"/>
      <scheme val="minor"/>
    </font>
    <font>
      <sz val="11"/>
      <color rgb="FF000000"/>
      <name val="Calibri"/>
      <family val="2"/>
      <scheme val="minor"/>
    </font>
    <font>
      <b/>
      <u/>
      <sz val="11"/>
      <color rgb="FF000000"/>
      <name val="Calibri"/>
      <family val="2"/>
      <scheme val="minor"/>
    </font>
    <font>
      <vertAlign val="subscript"/>
      <sz val="18"/>
      <color theme="1"/>
      <name val="Calibri"/>
      <family val="2"/>
      <scheme val="minor"/>
    </font>
    <font>
      <i/>
      <sz val="16"/>
      <color rgb="FF000000"/>
      <name val="Calibri"/>
      <family val="2"/>
      <scheme val="minor"/>
    </font>
    <font>
      <b/>
      <u/>
      <sz val="11"/>
      <color theme="1"/>
      <name val="Calibri"/>
      <family val="2"/>
      <scheme val="minor"/>
    </font>
    <font>
      <sz val="20"/>
      <color theme="1"/>
      <name val="Calibri"/>
      <family val="2"/>
      <scheme val="minor"/>
    </font>
    <font>
      <vertAlign val="subscript"/>
      <sz val="20"/>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sz val="18"/>
      <color rgb="FF000000"/>
      <name val="Calibri"/>
      <family val="2"/>
    </font>
    <font>
      <vertAlign val="subscript"/>
      <sz val="18"/>
      <color rgb="FF000000"/>
      <name val="Calibri"/>
      <family val="2"/>
    </font>
    <font>
      <b/>
      <sz val="11"/>
      <color rgb="FF000000"/>
      <name val="Calibri"/>
      <family val="2"/>
      <scheme val="minor"/>
    </font>
    <font>
      <b/>
      <sz val="12"/>
      <color theme="1"/>
      <name val="Calibri"/>
      <family val="2"/>
      <scheme val="minor"/>
    </font>
    <font>
      <sz val="11"/>
      <name val="Calibri"/>
      <family val="2"/>
      <scheme val="minor"/>
    </font>
    <font>
      <b/>
      <i/>
      <sz val="14"/>
      <color theme="1"/>
      <name val="Calibri"/>
      <family val="2"/>
      <scheme val="minor"/>
    </font>
    <font>
      <i/>
      <sz val="11"/>
      <color theme="1"/>
      <name val="Calibri"/>
      <family val="2"/>
      <scheme val="minor"/>
    </font>
    <font>
      <sz val="14"/>
      <color theme="1"/>
      <name val="Calibri"/>
      <family val="2"/>
      <scheme val="minor"/>
    </font>
    <font>
      <u/>
      <sz val="11"/>
      <color theme="1"/>
      <name val="Calibri"/>
      <family val="2"/>
      <scheme val="minor"/>
    </font>
    <font>
      <sz val="14"/>
      <color rgb="FF000000"/>
      <name val="Calibri"/>
      <family val="2"/>
      <scheme val="minor"/>
    </font>
    <font>
      <sz val="11"/>
      <color rgb="FF9C5700"/>
      <name val="Calibri"/>
      <family val="2"/>
      <scheme val="minor"/>
    </font>
    <font>
      <sz val="10"/>
      <name val="Arial"/>
      <family val="2"/>
    </font>
    <font>
      <b/>
      <sz val="18"/>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9" tint="0.79998168889431442"/>
        <bgColor indexed="64"/>
      </patternFill>
    </fill>
    <fill>
      <patternFill patternType="solid">
        <fgColor rgb="FFBFBFBF"/>
        <bgColor rgb="FF000000"/>
      </patternFill>
    </fill>
    <fill>
      <patternFill patternType="solid">
        <fgColor theme="0" tint="-0.249977111117893"/>
        <bgColor rgb="FF000000"/>
      </patternFill>
    </fill>
    <fill>
      <patternFill patternType="solid">
        <fgColor theme="9" tint="0.59999389629810485"/>
        <bgColor indexed="64"/>
      </patternFill>
    </fill>
    <fill>
      <patternFill patternType="solid">
        <fgColor theme="0" tint="-0.14999847407452621"/>
        <bgColor rgb="FF000000"/>
      </patternFill>
    </fill>
    <fill>
      <patternFill patternType="solid">
        <fgColor rgb="FFFFEB9C"/>
      </patternFill>
    </fill>
    <fill>
      <patternFill patternType="solid">
        <fgColor theme="0" tint="-0.49998474074526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E2EFDA"/>
        <bgColor rgb="FF000000"/>
      </patternFill>
    </fill>
  </fills>
  <borders count="26">
    <border>
      <left/>
      <right/>
      <top/>
      <bottom/>
      <diagonal/>
    </border>
    <border>
      <left/>
      <right/>
      <top style="thick">
        <color auto="1"/>
      </top>
      <bottom style="thick">
        <color auto="1"/>
      </bottom>
      <diagonal/>
    </border>
    <border>
      <left/>
      <right/>
      <top style="thick">
        <color auto="1"/>
      </top>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auto="1"/>
      </left>
      <right style="medium">
        <color auto="1"/>
      </right>
      <top style="medium">
        <color auto="1"/>
      </top>
      <bottom style="medium">
        <color auto="1"/>
      </bottom>
      <diagonal/>
    </border>
    <border>
      <left/>
      <right/>
      <top/>
      <bottom style="thick">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43" fontId="8" fillId="0" borderId="0" applyFont="0" applyFill="0" applyBorder="0" applyAlignment="0" applyProtection="0"/>
    <xf numFmtId="0" fontId="34" fillId="11" borderId="0" applyNumberFormat="0" applyBorder="0" applyAlignment="0" applyProtection="0"/>
    <xf numFmtId="0" fontId="35" fillId="0" borderId="0"/>
  </cellStyleXfs>
  <cellXfs count="205">
    <xf numFmtId="0" fontId="0" fillId="0" borderId="0" xfId="0"/>
    <xf numFmtId="0" fontId="0" fillId="0" borderId="0" xfId="0" applyAlignment="1">
      <alignment wrapText="1"/>
    </xf>
    <xf numFmtId="0" fontId="1" fillId="0" borderId="0" xfId="0" applyFont="1"/>
    <xf numFmtId="0" fontId="1" fillId="0" borderId="1" xfId="0" applyFont="1" applyBorder="1" applyAlignment="1">
      <alignment wrapText="1"/>
    </xf>
    <xf numFmtId="0" fontId="1" fillId="0" borderId="1" xfId="0" applyFont="1" applyBorder="1"/>
    <xf numFmtId="0" fontId="0" fillId="2" borderId="0" xfId="0" applyFill="1" applyAlignment="1">
      <alignment wrapText="1"/>
    </xf>
    <xf numFmtId="0" fontId="0" fillId="0" borderId="2" xfId="0" applyBorder="1" applyAlignment="1">
      <alignment horizontal="center" wrapText="1"/>
    </xf>
    <xf numFmtId="0" fontId="2" fillId="0" borderId="0" xfId="0" applyFont="1" applyAlignment="1">
      <alignment wrapText="1"/>
    </xf>
    <xf numFmtId="0" fontId="2" fillId="0" borderId="0" xfId="0" applyFont="1"/>
    <xf numFmtId="0" fontId="2" fillId="3" borderId="0" xfId="0" applyFont="1" applyFill="1" applyAlignment="1">
      <alignment wrapText="1"/>
    </xf>
    <xf numFmtId="0" fontId="2" fillId="3" borderId="0" xfId="0" applyFont="1" applyFill="1"/>
    <xf numFmtId="0" fontId="1" fillId="0" borderId="0" xfId="0" applyFont="1" applyAlignment="1">
      <alignment wrapText="1"/>
    </xf>
    <xf numFmtId="0" fontId="1" fillId="3" borderId="0" xfId="0" applyFont="1" applyFill="1" applyAlignment="1">
      <alignment wrapText="1"/>
    </xf>
    <xf numFmtId="0" fontId="1" fillId="3" borderId="0" xfId="0" applyFont="1" applyFill="1"/>
    <xf numFmtId="0" fontId="1" fillId="4" borderId="0" xfId="0" applyFont="1" applyFill="1"/>
    <xf numFmtId="0" fontId="1" fillId="4" borderId="0" xfId="0" applyFont="1" applyFill="1" applyAlignment="1">
      <alignment wrapText="1"/>
    </xf>
    <xf numFmtId="0" fontId="4" fillId="0" borderId="0" xfId="1" applyAlignment="1">
      <alignment wrapText="1"/>
    </xf>
    <xf numFmtId="0" fontId="5" fillId="0" borderId="0" xfId="0" applyFont="1"/>
    <xf numFmtId="0" fontId="5" fillId="2" borderId="3" xfId="0" applyFont="1" applyFill="1" applyBorder="1"/>
    <xf numFmtId="0" fontId="5" fillId="0" borderId="4" xfId="0" applyFont="1" applyBorder="1" applyAlignment="1">
      <alignment wrapText="1"/>
    </xf>
    <xf numFmtId="0" fontId="5" fillId="0" borderId="5" xfId="0" applyFont="1" applyBorder="1"/>
    <xf numFmtId="0" fontId="0" fillId="4" borderId="0" xfId="0" applyFill="1"/>
    <xf numFmtId="0" fontId="0" fillId="2" borderId="0" xfId="0" applyFill="1"/>
    <xf numFmtId="0" fontId="0" fillId="5" borderId="0" xfId="0" applyFill="1" applyAlignment="1">
      <alignment wrapText="1"/>
    </xf>
    <xf numFmtId="0" fontId="3" fillId="0" borderId="0" xfId="0" applyFont="1" applyAlignment="1">
      <alignment wrapText="1"/>
    </xf>
    <xf numFmtId="0" fontId="0" fillId="6" borderId="0" xfId="0" applyFill="1"/>
    <xf numFmtId="0" fontId="0" fillId="6" borderId="0" xfId="0" applyFill="1" applyAlignment="1">
      <alignment wrapText="1"/>
    </xf>
    <xf numFmtId="0" fontId="0" fillId="0" borderId="1" xfId="0" applyBorder="1"/>
    <xf numFmtId="0" fontId="0" fillId="0" borderId="1" xfId="0" applyBorder="1" applyAlignment="1">
      <alignment wrapText="1"/>
    </xf>
    <xf numFmtId="0" fontId="9" fillId="0" borderId="0" xfId="0" applyFont="1" applyAlignment="1">
      <alignment wrapText="1"/>
    </xf>
    <xf numFmtId="0" fontId="9" fillId="0" borderId="0" xfId="0" applyFont="1" applyAlignment="1">
      <alignment horizontal="left" wrapText="1"/>
    </xf>
    <xf numFmtId="0" fontId="9" fillId="0" borderId="0" xfId="0" applyFont="1" applyAlignment="1">
      <alignment horizontal="left"/>
    </xf>
    <xf numFmtId="0" fontId="11" fillId="2" borderId="0" xfId="0" applyFont="1" applyFill="1" applyAlignment="1">
      <alignment horizontal="center" vertical="center"/>
    </xf>
    <xf numFmtId="0" fontId="0" fillId="2" borderId="0" xfId="0" applyFill="1" applyAlignment="1">
      <alignment horizontal="left" vertical="center" wrapText="1"/>
    </xf>
    <xf numFmtId="0" fontId="0" fillId="2" borderId="0" xfId="0" applyFill="1" applyAlignment="1">
      <alignment horizontal="left"/>
    </xf>
    <xf numFmtId="0" fontId="13" fillId="0" borderId="0" xfId="0" applyFont="1"/>
    <xf numFmtId="0" fontId="0" fillId="0" borderId="0" xfId="0" applyAlignment="1">
      <alignment horizontal="left" vertical="center" wrapText="1"/>
    </xf>
    <xf numFmtId="0" fontId="0" fillId="6" borderId="0" xfId="0" applyFill="1" applyAlignment="1">
      <alignment horizontal="left" vertical="center" wrapText="1"/>
    </xf>
    <xf numFmtId="0" fontId="14" fillId="6" borderId="0" xfId="0" applyFont="1" applyFill="1" applyAlignment="1">
      <alignment wrapText="1"/>
    </xf>
    <xf numFmtId="0" fontId="13" fillId="2" borderId="0" xfId="0" applyFont="1" applyFill="1" applyAlignment="1">
      <alignment horizontal="center" vertical="center"/>
    </xf>
    <xf numFmtId="0" fontId="13" fillId="0" borderId="0" xfId="0" applyFont="1" applyAlignment="1">
      <alignment horizontal="center" vertical="center"/>
    </xf>
    <xf numFmtId="0" fontId="0" fillId="0" borderId="0" xfId="0" applyAlignment="1">
      <alignment horizontal="left"/>
    </xf>
    <xf numFmtId="0" fontId="13" fillId="2" borderId="0" xfId="0" applyFont="1" applyFill="1"/>
    <xf numFmtId="0" fontId="0" fillId="2" borderId="0" xfId="0" applyFill="1" applyAlignment="1">
      <alignment vertical="center" wrapText="1"/>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6" borderId="0" xfId="0" applyFill="1" applyAlignment="1">
      <alignment vertical="center" wrapText="1"/>
    </xf>
    <xf numFmtId="0" fontId="19" fillId="2" borderId="0" xfId="0" applyFont="1" applyFill="1" applyAlignment="1">
      <alignment vertical="center"/>
    </xf>
    <xf numFmtId="0" fontId="0" fillId="2" borderId="0" xfId="0" applyFill="1" applyAlignment="1">
      <alignment horizontal="left" wrapText="1"/>
    </xf>
    <xf numFmtId="0" fontId="13" fillId="0" borderId="0" xfId="0" applyFont="1" applyAlignment="1">
      <alignment horizontal="center"/>
    </xf>
    <xf numFmtId="0" fontId="21" fillId="0" borderId="0" xfId="0" applyFont="1"/>
    <xf numFmtId="0" fontId="21" fillId="2" borderId="0" xfId="0" applyFont="1" applyFill="1"/>
    <xf numFmtId="0" fontId="22" fillId="6" borderId="0" xfId="0" applyFont="1" applyFill="1" applyAlignment="1">
      <alignment wrapText="1"/>
    </xf>
    <xf numFmtId="0" fontId="21" fillId="6" borderId="0" xfId="0" applyFont="1" applyFill="1" applyAlignment="1">
      <alignment horizontal="left" vertical="center" wrapText="1"/>
    </xf>
    <xf numFmtId="0" fontId="21" fillId="6" borderId="0" xfId="0" applyFont="1" applyFill="1" applyAlignment="1">
      <alignment horizontal="left" vertical="center"/>
    </xf>
    <xf numFmtId="0" fontId="24" fillId="0" borderId="0" xfId="0" applyFont="1" applyAlignment="1">
      <alignment vertical="center"/>
    </xf>
    <xf numFmtId="0" fontId="24" fillId="2" borderId="0" xfId="0" applyFont="1" applyFill="1" applyAlignment="1">
      <alignment vertical="center"/>
    </xf>
    <xf numFmtId="0" fontId="0" fillId="6" borderId="0" xfId="0" applyFill="1" applyAlignment="1">
      <alignment horizontal="left" wrapText="1"/>
    </xf>
    <xf numFmtId="0" fontId="14" fillId="0" borderId="0" xfId="0" applyFont="1" applyAlignment="1">
      <alignment horizontal="left"/>
    </xf>
    <xf numFmtId="0" fontId="26" fillId="0" borderId="0" xfId="0" applyFont="1" applyAlignment="1">
      <alignment horizontal="left"/>
    </xf>
    <xf numFmtId="0" fontId="0" fillId="2" borderId="0" xfId="0" applyFill="1" applyAlignment="1">
      <alignment vertical="center"/>
    </xf>
    <xf numFmtId="164" fontId="0" fillId="0" borderId="6" xfId="2" applyNumberFormat="1" applyFont="1" applyBorder="1"/>
    <xf numFmtId="0" fontId="0" fillId="0" borderId="7" xfId="0" applyBorder="1"/>
    <xf numFmtId="0" fontId="0" fillId="0" borderId="8" xfId="0" applyBorder="1"/>
    <xf numFmtId="164" fontId="0" fillId="0" borderId="9" xfId="2" applyNumberFormat="1" applyFont="1" applyBorder="1"/>
    <xf numFmtId="0" fontId="0" fillId="0" borderId="10" xfId="0" applyBorder="1"/>
    <xf numFmtId="0" fontId="0" fillId="0" borderId="11" xfId="0" applyBorder="1"/>
    <xf numFmtId="0" fontId="0" fillId="0" borderId="11" xfId="0" applyBorder="1" applyAlignment="1">
      <alignment wrapText="1"/>
    </xf>
    <xf numFmtId="164" fontId="0" fillId="0" borderId="12" xfId="2" applyNumberFormat="1" applyFont="1" applyBorder="1"/>
    <xf numFmtId="0" fontId="0" fillId="0" borderId="13" xfId="0" applyBorder="1"/>
    <xf numFmtId="0" fontId="0" fillId="0" borderId="14" xfId="0" applyBorder="1"/>
    <xf numFmtId="0" fontId="27" fillId="0" borderId="15" xfId="0" applyFont="1" applyBorder="1" applyAlignment="1">
      <alignment horizontal="center" wrapText="1"/>
    </xf>
    <xf numFmtId="0" fontId="27" fillId="0" borderId="15" xfId="0" applyFont="1" applyBorder="1" applyAlignment="1">
      <alignment horizontal="center"/>
    </xf>
    <xf numFmtId="0" fontId="0" fillId="0" borderId="2" xfId="0" applyBorder="1" applyAlignment="1">
      <alignment horizontal="center"/>
    </xf>
    <xf numFmtId="0" fontId="29" fillId="0" borderId="0" xfId="0" applyFont="1" applyAlignment="1">
      <alignment wrapText="1"/>
    </xf>
    <xf numFmtId="0" fontId="1" fillId="2" borderId="1" xfId="0" applyFont="1" applyFill="1" applyBorder="1"/>
    <xf numFmtId="0" fontId="0" fillId="2" borderId="16" xfId="0" applyFill="1" applyBorder="1"/>
    <xf numFmtId="0" fontId="1" fillId="2" borderId="0" xfId="0" applyFont="1" applyFill="1"/>
    <xf numFmtId="0" fontId="0" fillId="0" borderId="17" xfId="0" applyBorder="1"/>
    <xf numFmtId="0" fontId="3" fillId="0" borderId="17" xfId="0" applyFont="1" applyBorder="1" applyAlignment="1">
      <alignment wrapText="1"/>
    </xf>
    <xf numFmtId="0" fontId="0" fillId="0" borderId="2" xfId="0" applyBorder="1"/>
    <xf numFmtId="0" fontId="0" fillId="2" borderId="2" xfId="0" applyFill="1" applyBorder="1"/>
    <xf numFmtId="0" fontId="0" fillId="0" borderId="2" xfId="0" applyBorder="1" applyAlignment="1">
      <alignment wrapText="1"/>
    </xf>
    <xf numFmtId="0" fontId="0" fillId="2" borderId="1" xfId="0" applyFill="1" applyBorder="1"/>
    <xf numFmtId="9" fontId="0" fillId="0" borderId="0" xfId="0" applyNumberFormat="1"/>
    <xf numFmtId="0" fontId="0" fillId="3" borderId="0" xfId="0" applyFill="1"/>
    <xf numFmtId="0" fontId="30" fillId="0" borderId="0" xfId="0" applyFont="1"/>
    <xf numFmtId="0" fontId="30" fillId="2" borderId="0" xfId="0" applyFont="1" applyFill="1"/>
    <xf numFmtId="0" fontId="2" fillId="4" borderId="0" xfId="0" applyFont="1" applyFill="1"/>
    <xf numFmtId="0" fontId="1" fillId="0" borderId="0" xfId="0" applyFont="1" applyAlignment="1">
      <alignment horizontal="center"/>
    </xf>
    <xf numFmtId="0" fontId="30" fillId="0" borderId="0" xfId="0" applyFont="1" applyAlignment="1">
      <alignment wrapText="1"/>
    </xf>
    <xf numFmtId="0" fontId="1" fillId="0" borderId="0" xfId="0" applyFont="1" applyAlignment="1">
      <alignment horizontal="left"/>
    </xf>
    <xf numFmtId="0" fontId="14" fillId="9" borderId="0" xfId="0" applyFont="1" applyFill="1" applyAlignment="1">
      <alignment horizontal="left" vertical="center"/>
    </xf>
    <xf numFmtId="0" fontId="14" fillId="9" borderId="0" xfId="0" applyFont="1" applyFill="1"/>
    <xf numFmtId="0" fontId="31" fillId="9" borderId="0" xfId="0" applyFont="1" applyFill="1" applyAlignment="1">
      <alignment horizontal="left" vertical="center" wrapText="1"/>
    </xf>
    <xf numFmtId="0" fontId="0" fillId="9" borderId="0" xfId="0" applyFill="1" applyAlignment="1">
      <alignment vertical="center" wrapText="1"/>
    </xf>
    <xf numFmtId="0" fontId="0" fillId="9" borderId="0" xfId="0" applyFill="1" applyAlignment="1">
      <alignment horizontal="left"/>
    </xf>
    <xf numFmtId="0" fontId="14" fillId="0" borderId="0" xfId="0" applyFont="1" applyAlignment="1">
      <alignment horizontal="left" vertical="center"/>
    </xf>
    <xf numFmtId="0" fontId="14" fillId="0" borderId="0" xfId="0" applyFont="1"/>
    <xf numFmtId="0" fontId="31"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19" fillId="0" borderId="0" xfId="0" applyFont="1" applyAlignment="1">
      <alignment horizontal="center" vertical="center"/>
    </xf>
    <xf numFmtId="0" fontId="0" fillId="3" borderId="0" xfId="0" applyFill="1" applyAlignment="1">
      <alignment wrapText="1"/>
    </xf>
    <xf numFmtId="0" fontId="0" fillId="3" borderId="0" xfId="0" applyFill="1" applyAlignment="1">
      <alignment horizontal="left"/>
    </xf>
    <xf numFmtId="0" fontId="30" fillId="0" borderId="0" xfId="0" applyFont="1" applyAlignment="1">
      <alignment horizontal="center"/>
    </xf>
    <xf numFmtId="3" fontId="0" fillId="0" borderId="0" xfId="0" applyNumberFormat="1" applyAlignment="1">
      <alignment horizontal="left"/>
    </xf>
    <xf numFmtId="0" fontId="1" fillId="0" borderId="18" xfId="0" applyFont="1" applyBorder="1" applyAlignment="1">
      <alignment horizontal="left"/>
    </xf>
    <xf numFmtId="0" fontId="1" fillId="0" borderId="19" xfId="0" applyFont="1" applyBorder="1"/>
    <xf numFmtId="0" fontId="0" fillId="2" borderId="18" xfId="0" applyFill="1" applyBorder="1" applyAlignment="1">
      <alignment horizontal="left"/>
    </xf>
    <xf numFmtId="0" fontId="0" fillId="2" borderId="19" xfId="0" applyFill="1" applyBorder="1"/>
    <xf numFmtId="0" fontId="0" fillId="0" borderId="18" xfId="0" applyBorder="1" applyAlignment="1">
      <alignment horizontal="left"/>
    </xf>
    <xf numFmtId="0" fontId="0" fillId="0" borderId="19" xfId="0" applyBorder="1"/>
    <xf numFmtId="0" fontId="1" fillId="0" borderId="5" xfId="0" applyFont="1" applyBorder="1" applyAlignment="1">
      <alignment horizontal="left"/>
    </xf>
    <xf numFmtId="0" fontId="1" fillId="0" borderId="4" xfId="0" applyFont="1" applyBorder="1"/>
    <xf numFmtId="0" fontId="1" fillId="2" borderId="3" xfId="0" applyFont="1" applyFill="1" applyBorder="1"/>
    <xf numFmtId="0" fontId="1" fillId="0" borderId="20" xfId="0" applyFont="1" applyBorder="1" applyAlignment="1">
      <alignment horizontal="left"/>
    </xf>
    <xf numFmtId="0" fontId="1" fillId="0" borderId="21" xfId="0" applyFont="1" applyBorder="1"/>
    <xf numFmtId="0" fontId="1" fillId="2" borderId="22" xfId="0" applyFont="1" applyFill="1" applyBorder="1"/>
    <xf numFmtId="0" fontId="0" fillId="0" borderId="0" xfId="0" applyAlignment="1">
      <alignment horizontal="left" wrapText="1"/>
    </xf>
    <xf numFmtId="9" fontId="0" fillId="2" borderId="0" xfId="0" applyNumberFormat="1" applyFill="1"/>
    <xf numFmtId="0" fontId="1" fillId="0" borderId="0" xfId="0" applyFont="1" applyAlignment="1">
      <alignment horizontal="center" wrapText="1"/>
    </xf>
    <xf numFmtId="0" fontId="3" fillId="0" borderId="0" xfId="0" applyFont="1" applyAlignment="1">
      <alignment horizontal="center"/>
    </xf>
    <xf numFmtId="0" fontId="3" fillId="0" borderId="0" xfId="0" applyFont="1"/>
    <xf numFmtId="0" fontId="14" fillId="2" borderId="0" xfId="0" applyFont="1" applyFill="1" applyAlignment="1">
      <alignment wrapText="1"/>
    </xf>
    <xf numFmtId="0" fontId="9" fillId="2" borderId="0" xfId="0" applyFont="1" applyFill="1" applyAlignment="1">
      <alignment wrapText="1"/>
    </xf>
    <xf numFmtId="0" fontId="14" fillId="2" borderId="0" xfId="0" applyFont="1" applyFill="1" applyAlignment="1">
      <alignment horizontal="left" wrapText="1"/>
    </xf>
    <xf numFmtId="0" fontId="14" fillId="2" borderId="0" xfId="0" applyFont="1" applyFill="1" applyAlignment="1">
      <alignment horizontal="right"/>
    </xf>
    <xf numFmtId="0" fontId="9" fillId="2" borderId="0" xfId="0" applyFont="1" applyFill="1" applyAlignment="1">
      <alignment horizontal="left" wrapText="1"/>
    </xf>
    <xf numFmtId="0" fontId="0" fillId="0" borderId="0" xfId="0" applyAlignment="1">
      <alignment horizontal="right"/>
    </xf>
    <xf numFmtId="0" fontId="0" fillId="2" borderId="0" xfId="0" applyFill="1" applyAlignment="1">
      <alignment horizontal="right"/>
    </xf>
    <xf numFmtId="0" fontId="14" fillId="0" borderId="0" xfId="0" applyFont="1" applyAlignment="1">
      <alignment horizontal="left" wrapText="1"/>
    </xf>
    <xf numFmtId="0" fontId="2" fillId="0" borderId="3" xfId="0" applyFont="1" applyBorder="1" applyAlignment="1">
      <alignment horizontal="center"/>
    </xf>
    <xf numFmtId="0" fontId="9" fillId="0" borderId="0" xfId="0" applyFont="1"/>
    <xf numFmtId="0" fontId="9" fillId="8" borderId="0" xfId="0" applyFont="1" applyFill="1" applyAlignment="1">
      <alignment horizontal="left"/>
    </xf>
    <xf numFmtId="0" fontId="33" fillId="8" borderId="0" xfId="0" applyFont="1" applyFill="1" applyAlignment="1">
      <alignment horizontal="left"/>
    </xf>
    <xf numFmtId="0" fontId="14" fillId="6" borderId="0" xfId="0" applyFont="1" applyFill="1"/>
    <xf numFmtId="0" fontId="9" fillId="6" borderId="0" xfId="0" applyFont="1" applyFill="1"/>
    <xf numFmtId="0" fontId="14" fillId="6" borderId="0" xfId="0" applyFont="1" applyFill="1" applyAlignment="1">
      <alignment horizontal="left" wrapText="1"/>
    </xf>
    <xf numFmtId="0" fontId="14" fillId="6" borderId="0" xfId="0" applyFont="1" applyFill="1" applyAlignment="1">
      <alignment horizontal="left"/>
    </xf>
    <xf numFmtId="0" fontId="10" fillId="0" borderId="0" xfId="0" applyFont="1" applyAlignment="1">
      <alignment vertical="center" wrapText="1"/>
    </xf>
    <xf numFmtId="0" fontId="2" fillId="0" borderId="16" xfId="0" applyFont="1" applyBorder="1" applyAlignment="1">
      <alignment horizontal="center" wrapText="1"/>
    </xf>
    <xf numFmtId="0" fontId="0" fillId="0" borderId="23" xfId="0" applyBorder="1" applyAlignment="1">
      <alignment wrapText="1"/>
    </xf>
    <xf numFmtId="0" fontId="0" fillId="0" borderId="24" xfId="0" applyBorder="1"/>
    <xf numFmtId="0" fontId="0" fillId="0" borderId="9" xfId="0" applyBorder="1"/>
    <xf numFmtId="0" fontId="0" fillId="0" borderId="6" xfId="0" applyBorder="1"/>
    <xf numFmtId="0" fontId="28" fillId="6" borderId="0" xfId="3" applyFont="1" applyFill="1" applyAlignment="1">
      <alignment wrapText="1"/>
    </xf>
    <xf numFmtId="0" fontId="14" fillId="9" borderId="0" xfId="0" applyFont="1" applyFill="1" applyAlignment="1">
      <alignment horizontal="left"/>
    </xf>
    <xf numFmtId="0" fontId="0" fillId="9" borderId="0" xfId="0" applyFill="1"/>
    <xf numFmtId="0" fontId="0" fillId="9" borderId="0" xfId="0" applyFill="1" applyAlignment="1">
      <alignment wrapText="1"/>
    </xf>
    <xf numFmtId="0" fontId="28" fillId="2" borderId="0" xfId="3" applyFont="1" applyFill="1" applyAlignment="1">
      <alignment horizontal="left" wrapText="1"/>
    </xf>
    <xf numFmtId="0" fontId="34" fillId="2" borderId="0" xfId="3" applyFill="1" applyAlignment="1">
      <alignment wrapText="1"/>
    </xf>
    <xf numFmtId="0" fontId="0" fillId="6" borderId="0" xfId="0" applyFill="1" applyAlignment="1">
      <alignment horizontal="left"/>
    </xf>
    <xf numFmtId="0" fontId="28" fillId="2" borderId="0" xfId="4" applyFont="1" applyFill="1" applyAlignment="1">
      <alignment vertical="top" wrapText="1"/>
    </xf>
    <xf numFmtId="10" fontId="0" fillId="0" borderId="0" xfId="0" applyNumberFormat="1" applyAlignment="1">
      <alignment horizontal="left"/>
    </xf>
    <xf numFmtId="4" fontId="0" fillId="0" borderId="0" xfId="0" applyNumberFormat="1" applyAlignment="1">
      <alignment horizontal="left"/>
    </xf>
    <xf numFmtId="0" fontId="14" fillId="2" borderId="0" xfId="0" applyFont="1" applyFill="1" applyAlignment="1">
      <alignment horizontal="left"/>
    </xf>
    <xf numFmtId="0" fontId="2" fillId="12" borderId="0" xfId="0" applyFont="1" applyFill="1"/>
    <xf numFmtId="10" fontId="0" fillId="0" borderId="0" xfId="0" applyNumberFormat="1"/>
    <xf numFmtId="0" fontId="2" fillId="0" borderId="1" xfId="0" applyFont="1" applyBorder="1"/>
    <xf numFmtId="0" fontId="2" fillId="2" borderId="1" xfId="0" applyFont="1" applyFill="1" applyBorder="1"/>
    <xf numFmtId="0" fontId="14" fillId="0" borderId="0" xfId="0" applyFont="1" applyAlignment="1">
      <alignment wrapText="1"/>
    </xf>
    <xf numFmtId="0" fontId="1" fillId="0" borderId="10" xfId="0" applyFont="1" applyBorder="1" applyAlignment="1">
      <alignment horizontal="center" vertical="top"/>
    </xf>
    <xf numFmtId="0" fontId="1" fillId="0" borderId="25" xfId="0" applyFont="1" applyBorder="1" applyAlignment="1">
      <alignment horizontal="center" vertical="top" wrapText="1"/>
    </xf>
    <xf numFmtId="0" fontId="0" fillId="13" borderId="0" xfId="0" applyFill="1"/>
    <xf numFmtId="0" fontId="14" fillId="0" borderId="0" xfId="0" applyFont="1" applyAlignment="1">
      <alignment horizontal="center"/>
    </xf>
    <xf numFmtId="4" fontId="0" fillId="0" borderId="0" xfId="0" applyNumberFormat="1"/>
    <xf numFmtId="3" fontId="0" fillId="0" borderId="0" xfId="0" applyNumberFormat="1"/>
    <xf numFmtId="3" fontId="30" fillId="0" borderId="0" xfId="0" applyNumberFormat="1" applyFont="1"/>
    <xf numFmtId="14" fontId="0" fillId="0" borderId="0" xfId="0" applyNumberFormat="1"/>
    <xf numFmtId="2" fontId="0" fillId="0" borderId="0" xfId="0" applyNumberFormat="1"/>
    <xf numFmtId="0" fontId="9" fillId="0" borderId="0" xfId="0" applyFont="1" applyAlignment="1">
      <alignment horizontal="center" vertical="center"/>
    </xf>
    <xf numFmtId="0" fontId="9" fillId="0" borderId="0" xfId="0" applyFont="1" applyAlignment="1">
      <alignment horizontal="center" vertical="center" wrapText="1"/>
    </xf>
    <xf numFmtId="0" fontId="14" fillId="2" borderId="0" xfId="0" applyFont="1" applyFill="1"/>
    <xf numFmtId="0" fontId="36" fillId="14" borderId="14" xfId="0" applyFont="1" applyFill="1" applyBorder="1" applyAlignment="1">
      <alignment horizontal="center"/>
    </xf>
    <xf numFmtId="0" fontId="36" fillId="14" borderId="12" xfId="0" applyFont="1" applyFill="1"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14" fillId="0" borderId="0" xfId="0" applyFont="1" applyAlignment="1">
      <alignment horizontal="center" vertical="center"/>
    </xf>
    <xf numFmtId="0" fontId="14" fillId="15" borderId="0" xfId="0" applyFont="1" applyFill="1" applyAlignment="1">
      <alignment wrapText="1"/>
    </xf>
    <xf numFmtId="14" fontId="0" fillId="0" borderId="0" xfId="0" applyNumberFormat="1" applyAlignment="1">
      <alignment horizontal="left"/>
    </xf>
    <xf numFmtId="0" fontId="4" fillId="0" borderId="0" xfId="1" applyFill="1" applyAlignment="1">
      <alignment wrapText="1"/>
    </xf>
    <xf numFmtId="14" fontId="14" fillId="0" borderId="0" xfId="0" applyNumberFormat="1" applyFont="1" applyAlignment="1">
      <alignment horizontal="left" wrapText="1"/>
    </xf>
    <xf numFmtId="0" fontId="0" fillId="6" borderId="0" xfId="0" applyFill="1" applyAlignment="1">
      <alignment wrapText="1"/>
    </xf>
    <xf numFmtId="0" fontId="1" fillId="0" borderId="2" xfId="0" applyFont="1" applyBorder="1" applyAlignment="1">
      <alignment horizontal="center"/>
    </xf>
    <xf numFmtId="0" fontId="0" fillId="0" borderId="2" xfId="0" applyBorder="1" applyAlignment="1">
      <alignment horizontal="center"/>
    </xf>
    <xf numFmtId="0" fontId="10" fillId="7" borderId="0" xfId="0" applyFont="1" applyFill="1" applyAlignment="1">
      <alignment horizontal="center" vertical="center" wrapText="1"/>
    </xf>
    <xf numFmtId="0" fontId="10" fillId="3" borderId="0" xfId="0" applyFont="1" applyFill="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10" fillId="3" borderId="0" xfId="0" applyFont="1" applyFill="1" applyAlignment="1">
      <alignment horizontal="center" vertical="center"/>
    </xf>
    <xf numFmtId="0" fontId="9" fillId="3" borderId="0" xfId="0" applyFont="1" applyFill="1" applyAlignment="1">
      <alignment horizontal="center"/>
    </xf>
    <xf numFmtId="0" fontId="2" fillId="0" borderId="5"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7" borderId="0" xfId="0" applyFont="1" applyFill="1" applyAlignment="1">
      <alignment horizontal="center"/>
    </xf>
    <xf numFmtId="0" fontId="14" fillId="15" borderId="0" xfId="0" applyFont="1" applyFill="1" applyAlignment="1">
      <alignment horizontal="left"/>
    </xf>
    <xf numFmtId="0" fontId="2" fillId="0" borderId="0" xfId="0" applyFont="1" applyAlignment="1">
      <alignment horizontal="center"/>
    </xf>
    <xf numFmtId="0" fontId="30" fillId="0" borderId="0" xfId="0" applyFont="1" applyAlignment="1">
      <alignment horizontal="center"/>
    </xf>
    <xf numFmtId="0" fontId="10" fillId="10" borderId="0" xfId="0" applyFont="1" applyFill="1" applyAlignment="1">
      <alignment horizontal="center" vertical="center" wrapText="1"/>
    </xf>
    <xf numFmtId="0" fontId="10" fillId="7" borderId="21" xfId="0" applyFont="1" applyFill="1" applyBorder="1" applyAlignment="1">
      <alignment horizontal="center" vertical="center" wrapText="1"/>
    </xf>
    <xf numFmtId="0" fontId="1" fillId="0" borderId="0" xfId="0" applyFont="1" applyAlignment="1">
      <alignment horizontal="center"/>
    </xf>
    <xf numFmtId="0" fontId="0" fillId="0" borderId="0" xfId="0" applyAlignment="1">
      <alignment horizontal="center"/>
    </xf>
    <xf numFmtId="0" fontId="14" fillId="15" borderId="0" xfId="0" applyFont="1" applyFill="1" applyAlignment="1"/>
  </cellXfs>
  <cellStyles count="5">
    <cellStyle name="Comma 2" xfId="2" xr:uid="{3BFD0680-57F7-47ED-9210-B04A95D79A08}"/>
    <cellStyle name="Hyperlink" xfId="1" builtinId="8"/>
    <cellStyle name="Neutral" xfId="3" builtinId="28"/>
    <cellStyle name="Normal" xfId="0" builtinId="0"/>
    <cellStyle name="Normal 3" xfId="4" xr:uid="{EFBD2B27-E652-4930-B5DE-78A8C8D3D14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253365</xdr:colOff>
      <xdr:row>2</xdr:row>
      <xdr:rowOff>140970</xdr:rowOff>
    </xdr:from>
    <xdr:to>
      <xdr:col>19</xdr:col>
      <xdr:colOff>209550</xdr:colOff>
      <xdr:row>27</xdr:row>
      <xdr:rowOff>120016</xdr:rowOff>
    </xdr:to>
    <xdr:pic>
      <xdr:nvPicPr>
        <xdr:cNvPr id="2" name="Picture 1">
          <a:extLst>
            <a:ext uri="{FF2B5EF4-FFF2-40B4-BE49-F238E27FC236}">
              <a16:creationId xmlns:a16="http://schemas.microsoft.com/office/drawing/2014/main" id="{6F0E5DB3-EF69-2B4B-9DC1-438781A83D89}"/>
            </a:ext>
          </a:extLst>
        </xdr:cNvPr>
        <xdr:cNvPicPr>
          <a:picLocks noChangeAspect="1"/>
        </xdr:cNvPicPr>
      </xdr:nvPicPr>
      <xdr:blipFill rotWithShape="1">
        <a:blip xmlns:r="http://schemas.openxmlformats.org/officeDocument/2006/relationships" r:embed="rId1"/>
        <a:srcRect l="9116" t="29911" r="59347" b="26384"/>
        <a:stretch/>
      </xdr:blipFill>
      <xdr:spPr>
        <a:xfrm>
          <a:off x="253365" y="502920"/>
          <a:ext cx="11538585" cy="45034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3257550</xdr:colOff>
      <xdr:row>66</xdr:row>
      <xdr:rowOff>177165</xdr:rowOff>
    </xdr:to>
    <xdr:pic>
      <xdr:nvPicPr>
        <xdr:cNvPr id="2" name="Picture 1">
          <a:extLst>
            <a:ext uri="{FF2B5EF4-FFF2-40B4-BE49-F238E27FC236}">
              <a16:creationId xmlns:a16="http://schemas.microsoft.com/office/drawing/2014/main" id="{FBDC1507-7B65-4E36-A1F1-D59F8CDBDE16}"/>
            </a:ext>
          </a:extLst>
        </xdr:cNvPr>
        <xdr:cNvPicPr>
          <a:picLocks noChangeAspect="1"/>
        </xdr:cNvPicPr>
      </xdr:nvPicPr>
      <xdr:blipFill>
        <a:blip xmlns:r="http://schemas.openxmlformats.org/officeDocument/2006/relationships" r:embed="rId1"/>
        <a:stretch>
          <a:fillRect/>
        </a:stretch>
      </xdr:blipFill>
      <xdr:spPr>
        <a:xfrm>
          <a:off x="0" y="7981950"/>
          <a:ext cx="8140065" cy="101326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A161EAA7-0CA9-452E-8D2A-E81BD35B4E95}"/>
            </a:ext>
          </a:extLst>
        </xdr:cNvPr>
        <xdr:cNvPicPr>
          <a:picLocks noChangeAspect="1"/>
        </xdr:cNvPicPr>
      </xdr:nvPicPr>
      <xdr:blipFill>
        <a:blip xmlns:r="http://schemas.openxmlformats.org/officeDocument/2006/relationships" r:embed="rId1"/>
        <a:stretch>
          <a:fillRect/>
        </a:stretch>
      </xdr:blipFill>
      <xdr:spPr>
        <a:xfrm>
          <a:off x="1076325" y="4295775"/>
          <a:ext cx="7802065" cy="59444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42</xdr:row>
      <xdr:rowOff>0</xdr:rowOff>
    </xdr:from>
    <xdr:to>
      <xdr:col>4</xdr:col>
      <xdr:colOff>968688</xdr:colOff>
      <xdr:row>60</xdr:row>
      <xdr:rowOff>78105</xdr:rowOff>
    </xdr:to>
    <xdr:pic>
      <xdr:nvPicPr>
        <xdr:cNvPr id="5" name="Picture 4">
          <a:extLst>
            <a:ext uri="{FF2B5EF4-FFF2-40B4-BE49-F238E27FC236}">
              <a16:creationId xmlns:a16="http://schemas.microsoft.com/office/drawing/2014/main" id="{7DA15433-A928-477A-8DE5-E4D506327BF8}"/>
            </a:ext>
          </a:extLst>
        </xdr:cNvPr>
        <xdr:cNvPicPr>
          <a:picLocks noChangeAspect="1"/>
        </xdr:cNvPicPr>
      </xdr:nvPicPr>
      <xdr:blipFill rotWithShape="1">
        <a:blip xmlns:r="http://schemas.openxmlformats.org/officeDocument/2006/relationships" r:embed="rId1"/>
        <a:srcRect l="12126" t="34569" r="5162" b="14234"/>
        <a:stretch/>
      </xdr:blipFill>
      <xdr:spPr>
        <a:xfrm>
          <a:off x="0" y="9686925"/>
          <a:ext cx="9693588" cy="3335655"/>
        </a:xfrm>
        <a:prstGeom prst="rect">
          <a:avLst/>
        </a:prstGeom>
      </xdr:spPr>
    </xdr:pic>
    <xdr:clientData/>
  </xdr:twoCellAnchor>
  <xdr:twoCellAnchor editAs="oneCell">
    <xdr:from>
      <xdr:col>0</xdr:col>
      <xdr:colOff>289560</xdr:colOff>
      <xdr:row>64</xdr:row>
      <xdr:rowOff>154304</xdr:rowOff>
    </xdr:from>
    <xdr:to>
      <xdr:col>3</xdr:col>
      <xdr:colOff>323850</xdr:colOff>
      <xdr:row>104</xdr:row>
      <xdr:rowOff>168537</xdr:rowOff>
    </xdr:to>
    <xdr:pic>
      <xdr:nvPicPr>
        <xdr:cNvPr id="6" name="Picture 5">
          <a:extLst>
            <a:ext uri="{FF2B5EF4-FFF2-40B4-BE49-F238E27FC236}">
              <a16:creationId xmlns:a16="http://schemas.microsoft.com/office/drawing/2014/main" id="{CE305F67-DBF0-4971-B409-962AD07DB096}"/>
            </a:ext>
          </a:extLst>
        </xdr:cNvPr>
        <xdr:cNvPicPr>
          <a:picLocks noChangeAspect="1"/>
        </xdr:cNvPicPr>
      </xdr:nvPicPr>
      <xdr:blipFill rotWithShape="1">
        <a:blip xmlns:r="http://schemas.openxmlformats.org/officeDocument/2006/relationships" r:embed="rId2"/>
        <a:srcRect l="37838" t="28522" r="38825" b="34288"/>
        <a:stretch/>
      </xdr:blipFill>
      <xdr:spPr>
        <a:xfrm>
          <a:off x="285750" y="13822679"/>
          <a:ext cx="8164830" cy="7253233"/>
        </a:xfrm>
        <a:prstGeom prst="rect">
          <a:avLst/>
        </a:prstGeom>
      </xdr:spPr>
    </xdr:pic>
    <xdr:clientData/>
  </xdr:twoCellAnchor>
  <xdr:twoCellAnchor editAs="oneCell">
    <xdr:from>
      <xdr:col>0</xdr:col>
      <xdr:colOff>87630</xdr:colOff>
      <xdr:row>107</xdr:row>
      <xdr:rowOff>26670</xdr:rowOff>
    </xdr:from>
    <xdr:to>
      <xdr:col>4</xdr:col>
      <xdr:colOff>57150</xdr:colOff>
      <xdr:row>124</xdr:row>
      <xdr:rowOff>114300</xdr:rowOff>
    </xdr:to>
    <xdr:pic>
      <xdr:nvPicPr>
        <xdr:cNvPr id="7" name="Picture 6">
          <a:extLst>
            <a:ext uri="{FF2B5EF4-FFF2-40B4-BE49-F238E27FC236}">
              <a16:creationId xmlns:a16="http://schemas.microsoft.com/office/drawing/2014/main" id="{4420E4C6-29AB-4FC9-8909-0703B22A6D5C}"/>
            </a:ext>
          </a:extLst>
        </xdr:cNvPr>
        <xdr:cNvPicPr>
          <a:picLocks noChangeAspect="1"/>
        </xdr:cNvPicPr>
      </xdr:nvPicPr>
      <xdr:blipFill rotWithShape="1">
        <a:blip xmlns:r="http://schemas.openxmlformats.org/officeDocument/2006/relationships" r:embed="rId3"/>
        <a:srcRect l="27003" t="31559" r="25449" b="37325"/>
        <a:stretch/>
      </xdr:blipFill>
      <xdr:spPr>
        <a:xfrm>
          <a:off x="91440" y="21475065"/>
          <a:ext cx="8702040" cy="31661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251460</xdr:colOff>
      <xdr:row>6</xdr:row>
      <xdr:rowOff>38100</xdr:rowOff>
    </xdr:from>
    <xdr:to>
      <xdr:col>23</xdr:col>
      <xdr:colOff>548640</xdr:colOff>
      <xdr:row>40</xdr:row>
      <xdr:rowOff>64770</xdr:rowOff>
    </xdr:to>
    <xdr:pic>
      <xdr:nvPicPr>
        <xdr:cNvPr id="2" name="Picture 1">
          <a:extLst>
            <a:ext uri="{FF2B5EF4-FFF2-40B4-BE49-F238E27FC236}">
              <a16:creationId xmlns:a16="http://schemas.microsoft.com/office/drawing/2014/main" id="{DEAD1222-6BC3-4822-A294-C2961B015B62}"/>
            </a:ext>
          </a:extLst>
        </xdr:cNvPr>
        <xdr:cNvPicPr>
          <a:picLocks noChangeAspect="1"/>
        </xdr:cNvPicPr>
      </xdr:nvPicPr>
      <xdr:blipFill rotWithShape="1">
        <a:blip xmlns:r="http://schemas.openxmlformats.org/officeDocument/2006/relationships" r:embed="rId1"/>
        <a:srcRect l="35629" t="29263" r="36034" b="9989"/>
        <a:stretch/>
      </xdr:blipFill>
      <xdr:spPr>
        <a:xfrm>
          <a:off x="9391650" y="1123950"/>
          <a:ext cx="5181600" cy="6181725"/>
        </a:xfrm>
        <a:prstGeom prst="rect">
          <a:avLst/>
        </a:prstGeom>
      </xdr:spPr>
    </xdr:pic>
    <xdr:clientData/>
  </xdr:twoCellAnchor>
  <xdr:twoCellAnchor editAs="oneCell">
    <xdr:from>
      <xdr:col>26</xdr:col>
      <xdr:colOff>30480</xdr:colOff>
      <xdr:row>5</xdr:row>
      <xdr:rowOff>45720</xdr:rowOff>
    </xdr:from>
    <xdr:to>
      <xdr:col>36</xdr:col>
      <xdr:colOff>589600</xdr:colOff>
      <xdr:row>38</xdr:row>
      <xdr:rowOff>76200</xdr:rowOff>
    </xdr:to>
    <xdr:pic>
      <xdr:nvPicPr>
        <xdr:cNvPr id="3" name="Picture 2">
          <a:extLst>
            <a:ext uri="{FF2B5EF4-FFF2-40B4-BE49-F238E27FC236}">
              <a16:creationId xmlns:a16="http://schemas.microsoft.com/office/drawing/2014/main" id="{428D30AE-EDF8-49DB-84C3-F9A8F4C04E05}"/>
            </a:ext>
          </a:extLst>
        </xdr:cNvPr>
        <xdr:cNvPicPr>
          <a:picLocks noChangeAspect="1"/>
        </xdr:cNvPicPr>
      </xdr:nvPicPr>
      <xdr:blipFill rotWithShape="1">
        <a:blip xmlns:r="http://schemas.openxmlformats.org/officeDocument/2006/relationships" r:embed="rId2"/>
        <a:srcRect l="35504" t="29041" r="34742" b="22804"/>
        <a:stretch/>
      </xdr:blipFill>
      <xdr:spPr>
        <a:xfrm>
          <a:off x="15878175" y="952500"/>
          <a:ext cx="6660835" cy="6000750"/>
        </a:xfrm>
        <a:prstGeom prst="rect">
          <a:avLst/>
        </a:prstGeom>
      </xdr:spPr>
    </xdr:pic>
    <xdr:clientData/>
  </xdr:twoCellAnchor>
  <xdr:twoCellAnchor editAs="oneCell">
    <xdr:from>
      <xdr:col>36</xdr:col>
      <xdr:colOff>426720</xdr:colOff>
      <xdr:row>2</xdr:row>
      <xdr:rowOff>106680</xdr:rowOff>
    </xdr:from>
    <xdr:to>
      <xdr:col>46</xdr:col>
      <xdr:colOff>304800</xdr:colOff>
      <xdr:row>38</xdr:row>
      <xdr:rowOff>54693</xdr:rowOff>
    </xdr:to>
    <xdr:pic>
      <xdr:nvPicPr>
        <xdr:cNvPr id="4" name="Picture 3">
          <a:extLst>
            <a:ext uri="{FF2B5EF4-FFF2-40B4-BE49-F238E27FC236}">
              <a16:creationId xmlns:a16="http://schemas.microsoft.com/office/drawing/2014/main" id="{ADCD10B9-F50D-45DE-B710-2F177110E6D8}"/>
            </a:ext>
          </a:extLst>
        </xdr:cNvPr>
        <xdr:cNvPicPr>
          <a:picLocks noChangeAspect="1"/>
        </xdr:cNvPicPr>
      </xdr:nvPicPr>
      <xdr:blipFill rotWithShape="1">
        <a:blip xmlns:r="http://schemas.openxmlformats.org/officeDocument/2006/relationships" r:embed="rId3"/>
        <a:srcRect l="35546" t="35560" r="35825" b="8728"/>
        <a:stretch/>
      </xdr:blipFill>
      <xdr:spPr>
        <a:xfrm>
          <a:off x="22374225" y="466725"/>
          <a:ext cx="5972175" cy="6468828"/>
        </a:xfrm>
        <a:prstGeom prst="rect">
          <a:avLst/>
        </a:prstGeom>
      </xdr:spPr>
    </xdr:pic>
    <xdr:clientData/>
  </xdr:twoCellAnchor>
  <xdr:twoCellAnchor editAs="oneCell">
    <xdr:from>
      <xdr:col>0</xdr:col>
      <xdr:colOff>190500</xdr:colOff>
      <xdr:row>17</xdr:row>
      <xdr:rowOff>60960</xdr:rowOff>
    </xdr:from>
    <xdr:to>
      <xdr:col>14</xdr:col>
      <xdr:colOff>179070</xdr:colOff>
      <xdr:row>37</xdr:row>
      <xdr:rowOff>11430</xdr:rowOff>
    </xdr:to>
    <xdr:pic>
      <xdr:nvPicPr>
        <xdr:cNvPr id="5" name="Picture 4">
          <a:extLst>
            <a:ext uri="{FF2B5EF4-FFF2-40B4-BE49-F238E27FC236}">
              <a16:creationId xmlns:a16="http://schemas.microsoft.com/office/drawing/2014/main" id="{D5F1EEC8-ECFD-448F-AF17-9BF64E6647DC}"/>
            </a:ext>
          </a:extLst>
        </xdr:cNvPr>
        <xdr:cNvPicPr>
          <a:picLocks noChangeAspect="1"/>
        </xdr:cNvPicPr>
      </xdr:nvPicPr>
      <xdr:blipFill rotWithShape="1">
        <a:blip xmlns:r="http://schemas.openxmlformats.org/officeDocument/2006/relationships" r:embed="rId4"/>
        <a:srcRect l="27211" t="36004" r="26157" b="28955"/>
        <a:stretch/>
      </xdr:blipFill>
      <xdr:spPr>
        <a:xfrm>
          <a:off x="190500" y="3133725"/>
          <a:ext cx="8524875" cy="35718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91440</xdr:colOff>
      <xdr:row>0</xdr:row>
      <xdr:rowOff>114300</xdr:rowOff>
    </xdr:from>
    <xdr:to>
      <xdr:col>12</xdr:col>
      <xdr:colOff>591989</xdr:colOff>
      <xdr:row>24</xdr:row>
      <xdr:rowOff>90294</xdr:rowOff>
    </xdr:to>
    <xdr:pic>
      <xdr:nvPicPr>
        <xdr:cNvPr id="2" name="Picture 1">
          <a:extLst>
            <a:ext uri="{FF2B5EF4-FFF2-40B4-BE49-F238E27FC236}">
              <a16:creationId xmlns:a16="http://schemas.microsoft.com/office/drawing/2014/main" id="{0DFC2275-11AC-4D27-908D-CD8B07A3728E}"/>
            </a:ext>
          </a:extLst>
        </xdr:cNvPr>
        <xdr:cNvPicPr>
          <a:picLocks noChangeAspect="1"/>
        </xdr:cNvPicPr>
      </xdr:nvPicPr>
      <xdr:blipFill>
        <a:blip xmlns:r="http://schemas.openxmlformats.org/officeDocument/2006/relationships" r:embed="rId1"/>
        <a:stretch>
          <a:fillRect/>
        </a:stretch>
      </xdr:blipFill>
      <xdr:spPr>
        <a:xfrm>
          <a:off x="91440" y="114300"/>
          <a:ext cx="7815749" cy="4365114"/>
        </a:xfrm>
        <a:prstGeom prst="rect">
          <a:avLst/>
        </a:prstGeom>
      </xdr:spPr>
    </xdr:pic>
    <xdr:clientData/>
  </xdr:twoCellAnchor>
  <xdr:twoCellAnchor editAs="oneCell">
    <xdr:from>
      <xdr:col>13</xdr:col>
      <xdr:colOff>480060</xdr:colOff>
      <xdr:row>1</xdr:row>
      <xdr:rowOff>30480</xdr:rowOff>
    </xdr:from>
    <xdr:to>
      <xdr:col>27</xdr:col>
      <xdr:colOff>29657</xdr:colOff>
      <xdr:row>24</xdr:row>
      <xdr:rowOff>122293</xdr:rowOff>
    </xdr:to>
    <xdr:pic>
      <xdr:nvPicPr>
        <xdr:cNvPr id="3" name="Picture 2">
          <a:extLst>
            <a:ext uri="{FF2B5EF4-FFF2-40B4-BE49-F238E27FC236}">
              <a16:creationId xmlns:a16="http://schemas.microsoft.com/office/drawing/2014/main" id="{F99ACC3A-E1CE-41AD-8794-93108CAED67D}"/>
            </a:ext>
          </a:extLst>
        </xdr:cNvPr>
        <xdr:cNvPicPr>
          <a:picLocks noChangeAspect="1"/>
        </xdr:cNvPicPr>
      </xdr:nvPicPr>
      <xdr:blipFill>
        <a:blip xmlns:r="http://schemas.openxmlformats.org/officeDocument/2006/relationships" r:embed="rId2"/>
        <a:stretch>
          <a:fillRect/>
        </a:stretch>
      </xdr:blipFill>
      <xdr:spPr>
        <a:xfrm>
          <a:off x="8404860" y="213360"/>
          <a:ext cx="8083997" cy="4298053"/>
        </a:xfrm>
        <a:prstGeom prst="rect">
          <a:avLst/>
        </a:prstGeom>
      </xdr:spPr>
    </xdr:pic>
    <xdr:clientData/>
  </xdr:twoCellAnchor>
  <xdr:twoCellAnchor editAs="oneCell">
    <xdr:from>
      <xdr:col>28</xdr:col>
      <xdr:colOff>0</xdr:colOff>
      <xdr:row>1</xdr:row>
      <xdr:rowOff>0</xdr:rowOff>
    </xdr:from>
    <xdr:to>
      <xdr:col>40</xdr:col>
      <xdr:colOff>512742</xdr:colOff>
      <xdr:row>26</xdr:row>
      <xdr:rowOff>396</xdr:rowOff>
    </xdr:to>
    <xdr:pic>
      <xdr:nvPicPr>
        <xdr:cNvPr id="4" name="Picture 3">
          <a:extLst>
            <a:ext uri="{FF2B5EF4-FFF2-40B4-BE49-F238E27FC236}">
              <a16:creationId xmlns:a16="http://schemas.microsoft.com/office/drawing/2014/main" id="{B8A55D7C-3BC5-4658-97DF-5D6F16B7176B}"/>
            </a:ext>
          </a:extLst>
        </xdr:cNvPr>
        <xdr:cNvPicPr>
          <a:picLocks noChangeAspect="1"/>
        </xdr:cNvPicPr>
      </xdr:nvPicPr>
      <xdr:blipFill>
        <a:blip xmlns:r="http://schemas.openxmlformats.org/officeDocument/2006/relationships" r:embed="rId3"/>
        <a:stretch>
          <a:fillRect/>
        </a:stretch>
      </xdr:blipFill>
      <xdr:spPr>
        <a:xfrm>
          <a:off x="17068800" y="182880"/>
          <a:ext cx="7827942" cy="457239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601980</xdr:colOff>
      <xdr:row>0</xdr:row>
      <xdr:rowOff>167640</xdr:rowOff>
    </xdr:from>
    <xdr:to>
      <xdr:col>14</xdr:col>
      <xdr:colOff>328376</xdr:colOff>
      <xdr:row>30</xdr:row>
      <xdr:rowOff>143729</xdr:rowOff>
    </xdr:to>
    <xdr:pic>
      <xdr:nvPicPr>
        <xdr:cNvPr id="2" name="Picture 1">
          <a:extLst>
            <a:ext uri="{FF2B5EF4-FFF2-40B4-BE49-F238E27FC236}">
              <a16:creationId xmlns:a16="http://schemas.microsoft.com/office/drawing/2014/main" id="{2688022B-031F-4ED4-82F7-4AAC7BD820A1}"/>
            </a:ext>
          </a:extLst>
        </xdr:cNvPr>
        <xdr:cNvPicPr>
          <a:picLocks noChangeAspect="1"/>
        </xdr:cNvPicPr>
      </xdr:nvPicPr>
      <xdr:blipFill>
        <a:blip xmlns:r="http://schemas.openxmlformats.org/officeDocument/2006/relationships" r:embed="rId1"/>
        <a:stretch>
          <a:fillRect/>
        </a:stretch>
      </xdr:blipFill>
      <xdr:spPr>
        <a:xfrm>
          <a:off x="601980" y="167640"/>
          <a:ext cx="8260796" cy="54624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x Pinnola" id="{DD8A8376-5DCF-4AAE-89D8-9E169965E715}" userId="6071b2e426a8e48f" providerId="Windows Live"/>
  <person displayName="Jailine Molina" id="{FBB660CD-FB99-4DC5-8065-D02BD05B7DC7}" userId="f3e4387646bbb898" providerId="Windows Live"/>
  <person displayName="Jailine Molina" id="{AB959230-5012-4FB9-AB54-C27327F321BB}"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8" dT="2023-10-04T19:33:20.47" personId="{DD8A8376-5DCF-4AAE-89D8-9E169965E715}" id="{E9F574A9-2D6D-4994-9242-3093A5765C35}">
    <text>Equation 1</text>
  </threadedComment>
  <threadedComment ref="C72" dT="2023-10-04T20:03:42.30" personId="{DD8A8376-5DCF-4AAE-89D8-9E169965E715}" id="{8EF7B507-3A6B-4B4C-A1B2-48BDA6091CB3}">
    <text>Equation 2</text>
  </threadedComment>
  <threadedComment ref="C77" dT="2023-10-04T20:13:49.99" personId="{DD8A8376-5DCF-4AAE-89D8-9E169965E715}" id="{4A55794C-E86A-477F-97BE-1AF3800031AB}">
    <text>Equation 3</text>
  </threadedComment>
  <threadedComment ref="C83" dT="2023-10-05T18:57:12.63" personId="{DD8A8376-5DCF-4AAE-89D8-9E169965E715}" id="{CB866406-10DB-4499-A0F2-D4379F538C4A}">
    <text>Equation 4</text>
  </threadedComment>
  <threadedComment ref="C88" dT="2023-10-07T16:30:08.16" personId="{DD8A8376-5DCF-4AAE-89D8-9E169965E715}" id="{B863AA90-220F-4A9B-983C-B662D46DCF56}">
    <text>Equation 5</text>
  </threadedComment>
  <threadedComment ref="C92" dT="2023-10-04T20:03:42.30" personId="{DD8A8376-5DCF-4AAE-89D8-9E169965E715}" id="{4994BC64-B5E5-488C-8CBE-4D3279A86268}">
    <text>Equation 2</text>
  </threadedComment>
  <threadedComment ref="C96" dT="2023-10-04T19:33:20.47" personId="{DD8A8376-5DCF-4AAE-89D8-9E169965E715}" id="{42BC1F88-3754-46B8-AE5E-16FAA65A37A3}">
    <text>Equation 1</text>
  </threadedComment>
  <threadedComment ref="C99" dT="2023-10-07T17:56:11.55" personId="{DD8A8376-5DCF-4AAE-89D8-9E169965E715}" id="{A9987061-F169-47CB-8DB6-0F63FDA7C012}">
    <text>Equation 8</text>
  </threadedComment>
  <threadedComment ref="C104" dT="2023-10-07T17:56:11.55" personId="{DD8A8376-5DCF-4AAE-89D8-9E169965E715}" id="{7B85D47F-4BDB-4088-93E1-5A9870A4E1CC}">
    <text>Equation 8</text>
  </threadedComment>
  <threadedComment ref="C106" dT="2023-10-07T16:49:18.78" personId="{DD8A8376-5DCF-4AAE-89D8-9E169965E715}" id="{A9305493-4BF7-47D9-B359-5522D280C1AB}">
    <text>Equation 7</text>
  </threadedComment>
  <threadedComment ref="C107" dT="2023-10-07T18:12:57.90" personId="{DD8A8376-5DCF-4AAE-89D8-9E169965E715}" id="{4C2044EC-CABA-4FC4-AB32-B616067B697B}">
    <text>Equation 9</text>
  </threadedComment>
  <threadedComment ref="C109" dT="2023-10-07T16:34:49.73" personId="{DD8A8376-5DCF-4AAE-89D8-9E169965E715}" id="{B1430963-98FB-41EA-9F7F-43150F43C332}">
    <text xml:space="preserve">Equation 6 </text>
  </threadedComment>
  <threadedComment ref="C118" dT="2023-10-07T19:14:45.84" personId="{DD8A8376-5DCF-4AAE-89D8-9E169965E715}" id="{F6DEB045-0A1C-4D34-8EB5-FAFC9BB2A52B}">
    <text>Equation 11</text>
  </threadedComment>
  <threadedComment ref="C119" dT="2023-10-07T19:08:54.11" personId="{DD8A8376-5DCF-4AAE-89D8-9E169965E715}" id="{DB9CB7FA-2186-4414-A203-A0CA7A46C778}">
    <text>Equation 10</text>
  </threadedComment>
  <threadedComment ref="C124" dT="2023-10-07T19:37:46.01" personId="{DD8A8376-5DCF-4AAE-89D8-9E169965E715}" id="{78CF84C8-9CD8-4279-85DF-3610A777C338}">
    <text>Equation 12</text>
  </threadedComment>
  <threadedComment ref="C127" dT="2023-10-07T20:23:38.37" personId="{DD8A8376-5DCF-4AAE-89D8-9E169965E715}" id="{15C99BC9-1B9B-4C55-A169-E701F88AA4DC}">
    <text>Equation 13</text>
  </threadedComment>
  <threadedComment ref="C135" dT="2023-10-09T19:33:39.33" personId="{DD8A8376-5DCF-4AAE-89D8-9E169965E715}" id="{92C6E4FA-8091-49CF-809E-6004E44DE6A9}">
    <text>Equation 14</text>
  </threadedComment>
  <threadedComment ref="C153" dT="2023-10-10T19:48:57.64" personId="{DD8A8376-5DCF-4AAE-89D8-9E169965E715}" id="{381C20A4-BC65-4787-80E6-0B1729D5A4DB}">
    <text>Equation 17</text>
  </threadedComment>
  <threadedComment ref="C156" dT="2023-10-10T19:50:57.90" personId="{DD8A8376-5DCF-4AAE-89D8-9E169965E715}" id="{ECB4DBBA-B647-4728-BFBB-08D55F7C4B36}">
    <text>Equation 18</text>
  </threadedComment>
  <threadedComment ref="C160" dT="2023-10-10T19:50:57.90" personId="{DD8A8376-5DCF-4AAE-89D8-9E169965E715}" id="{1FD797BB-FC39-4976-BBB3-7E435F564CB8}">
    <text>Equation 18</text>
  </threadedComment>
  <threadedComment ref="C161" dT="2023-10-10T19:19:12.23" personId="{DD8A8376-5DCF-4AAE-89D8-9E169965E715}" id="{795DAC96-16E0-4F8E-8999-F85346F5F34F}">
    <text>Equation 16</text>
  </threadedComment>
  <threadedComment ref="C170" dT="2023-10-10T20:14:02.10" personId="{DD8A8376-5DCF-4AAE-89D8-9E169965E715}" id="{A3B019C2-4792-433D-A11C-5494A8897F1D}">
    <text>Equation 19</text>
  </threadedComment>
  <threadedComment ref="C171" dT="2023-10-10T20:33:29.42" personId="{DD8A8376-5DCF-4AAE-89D8-9E169965E715}" id="{4403C6BD-A216-4617-ACAE-85F34684C9F4}">
    <text>Equation 20</text>
  </threadedComment>
  <threadedComment ref="C186" dT="2023-10-10T18:03:13.80" personId="{DD8A8376-5DCF-4AAE-89D8-9E169965E715}" id="{16EE3180-13B8-435D-AB4B-B41BF8A82A34}">
    <text>Equation 15</text>
  </threadedComment>
  <threadedComment ref="C188" dT="2023-10-10T21:49:31.85" personId="{DD8A8376-5DCF-4AAE-89D8-9E169965E715}" id="{8D84DCE0-338F-4530-A106-7ED33C8619C8}">
    <text>Equation 21</text>
  </threadedComment>
</ThreadedComments>
</file>

<file path=xl/threadedComments/threadedComment10.xml><?xml version="1.0" encoding="utf-8"?>
<ThreadedComments xmlns="http://schemas.microsoft.com/office/spreadsheetml/2018/threadedcomments" xmlns:x="http://schemas.openxmlformats.org/spreadsheetml/2006/main">
  <threadedComment ref="F4" dT="2023-09-13T18:24:57.68" personId="{AB959230-5012-4FB9-AB54-C27327F321BB}" id="{B2ABEA03-E591-4BA1-8F84-EFB2AACABAD5}">
    <text>Eq 10</text>
  </threadedComment>
  <threadedComment ref="F28" dT="2023-09-11T16:49:57.34" personId="{AB959230-5012-4FB9-AB54-C27327F321BB}" id="{46E642FC-0057-4ACC-AEFA-41BCE1C96432}">
    <text>Eq 4</text>
  </threadedComment>
  <threadedComment ref="F39" dT="2023-09-11T20:22:43.98" personId="{AB959230-5012-4FB9-AB54-C27327F321BB}" id="{A10BAFE8-3349-47E6-998B-268CEDE0DCF4}">
    <text>Eq 5</text>
  </threadedComment>
  <threadedComment ref="F51" dT="2023-09-11T16:49:57.34" personId="{AB959230-5012-4FB9-AB54-C27327F321BB}" id="{1ECCE04B-5335-4A7F-8583-80047CBE0F68}">
    <text>Eq 4</text>
  </threadedComment>
  <threadedComment ref="F62" dT="2023-09-11T20:22:43.98" personId="{AB959230-5012-4FB9-AB54-C27327F321BB}" id="{81382390-2CD5-40D6-8CAD-DE48D14460C7}">
    <text>Eq 5</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23-09-15T20:21:14.99" personId="{AB959230-5012-4FB9-AB54-C27327F321BB}" id="{EBD2C15C-DEE7-440D-93B2-E9DE40075EDE}">
    <text>Equations for this calculation approach are not included because of the hourly requirement (functionality for 1000+ fields of data needs to be available)</text>
  </threadedComment>
  <threadedComment ref="F3" dT="2023-09-15T18:50:06.08" personId="{AB959230-5012-4FB9-AB54-C27327F321BB}" id="{DCBA95DF-B1A1-4740-A2F1-59A53225439D}">
    <text>Eq 12</text>
  </threadedComment>
</ThreadedComments>
</file>

<file path=xl/threadedComments/threadedComment12.xml><?xml version="1.0" encoding="utf-8"?>
<ThreadedComments xmlns="http://schemas.microsoft.com/office/spreadsheetml/2018/threadedcomments" xmlns:x="http://schemas.openxmlformats.org/spreadsheetml/2006/main">
  <threadedComment ref="F4" dT="2023-09-11T16:43:47.38" personId="{AB959230-5012-4FB9-AB54-C27327F321BB}" id="{D05E4BD6-84F4-482E-9C0F-1C2A4D841956}">
    <text>Eq 3</text>
  </threadedComment>
  <threadedComment ref="F6" dT="2023-09-11T16:43:47.38" personId="{AB959230-5012-4FB9-AB54-C27327F321BB}" id="{56C25F91-110D-45FF-9915-82B3ED8459C6}">
    <text>Eq 3</text>
  </threadedComment>
  <threadedComment ref="F11" dT="2023-09-11T16:49:57.34" personId="{AB959230-5012-4FB9-AB54-C27327F321BB}" id="{083C5E75-DDC5-4004-B5B8-5B1796D90592}">
    <text>Eq 4</text>
  </threadedComment>
  <threadedComment ref="F22" dT="2023-09-11T20:22:43.98" personId="{AB959230-5012-4FB9-AB54-C27327F321BB}" id="{EB78B239-1A0A-4B19-9269-094CAC89CF00}">
    <text>Eq 5</text>
  </threadedComment>
  <threadedComment ref="F30" dT="2023-09-11T20:44:10.79" personId="{AB959230-5012-4FB9-AB54-C27327F321BB}" id="{0F93CE27-27C4-40D7-8E04-8C27D96D1630}">
    <text>Eq 9</text>
  </threadedComment>
</ThreadedComments>
</file>

<file path=xl/threadedComments/threadedComment13.xml><?xml version="1.0" encoding="utf-8"?>
<ThreadedComments xmlns="http://schemas.microsoft.com/office/spreadsheetml/2018/threadedcomments" xmlns:x="http://schemas.openxmlformats.org/spreadsheetml/2006/main">
  <threadedComment ref="F8" dT="2023-09-18T21:05:04.93" personId="{AB959230-5012-4FB9-AB54-C27327F321BB}" id="{28056113-E3E9-4FCC-AF6C-9499E6884162}">
    <text>Eq 16</text>
  </threadedComment>
  <threadedComment ref="F10" dT="2023-09-18T21:05:04.93" personId="{AB959230-5012-4FB9-AB54-C27327F321BB}" id="{DBF52B4F-B2E4-4EE4-9158-6447065E818F}">
    <text>Eq 16</text>
  </threadedComment>
  <threadedComment ref="F15" dT="2023-09-18T21:05:04.93" personId="{AB959230-5012-4FB9-AB54-C27327F321BB}" id="{3D791002-8E27-427E-96B7-AC24A956EF4D}">
    <text>Eq 16</text>
  </threadedComment>
  <threadedComment ref="F24" dT="2023-09-18T21:05:04.93" personId="{AB959230-5012-4FB9-AB54-C27327F321BB}" id="{C5F16CC4-3E9E-4352-96EE-061B286DDDA1}">
    <text>Eq 16</text>
  </threadedComment>
</ThreadedComments>
</file>

<file path=xl/threadedComments/threadedComment14.xml><?xml version="1.0" encoding="utf-8"?>
<ThreadedComments xmlns="http://schemas.microsoft.com/office/spreadsheetml/2018/threadedcomments" xmlns:x="http://schemas.openxmlformats.org/spreadsheetml/2006/main">
  <threadedComment ref="A3" dT="2023-09-20T20:07:43.23" personId="{DD8A8376-5DCF-4AAE-89D8-9E169965E715}" id="{C7DB4D59-E2AB-4627-A4E7-DF36EAC198CB}">
    <text xml:space="preserve">Add a line for each transportation activity (f). </text>
  </threadedComment>
</ThreadedComments>
</file>

<file path=xl/threadedComments/threadedComment15.xml><?xml version="1.0" encoding="utf-8"?>
<ThreadedComments xmlns="http://schemas.microsoft.com/office/spreadsheetml/2018/threadedcomments" xmlns:x="http://schemas.openxmlformats.org/spreadsheetml/2006/main">
  <threadedComment ref="F9" dT="2023-10-02T17:56:34.11" personId="{AB959230-5012-4FB9-AB54-C27327F321BB}" id="{5074F6AA-10FE-4BCA-A0ED-59878898ACED}">
    <text>Eq 2</text>
  </threadedComment>
  <threadedComment ref="F16" dT="2023-10-02T18:19:24.82" personId="{AB959230-5012-4FB9-AB54-C27327F321BB}" id="{CE05C2A6-D1CB-4273-896C-9DC939EBE70A}">
    <text>Tool 05</text>
  </threadedComment>
  <threadedComment ref="F20" dT="2023-10-02T18:19:14.96" personId="{AB959230-5012-4FB9-AB54-C27327F321BB}" id="{4420B24A-07E2-4D18-AE5F-BE347E4013F8}">
    <text>Tool 03</text>
  </threadedComment>
  <threadedComment ref="F22" dT="2023-10-02T18:22:40.35" personId="{AB959230-5012-4FB9-AB54-C27327F321BB}" id="{D3B5BD3E-ACFA-4118-80C6-952B87D2434F}">
    <text>Eq 4</text>
  </threadedComment>
  <threadedComment ref="F27" dT="2023-10-02T20:18:08.28" personId="{AB959230-5012-4FB9-AB54-C27327F321BB}" id="{FFED7DE8-2328-4160-95EE-6653F3917F9E}">
    <text>Eq 5</text>
  </threadedComment>
  <threadedComment ref="F28" dT="2023-10-02T19:25:26.05" personId="{AB959230-5012-4FB9-AB54-C27327F321BB}" id="{7F0B004F-A16A-4480-AC4F-0660D3412EB6}">
    <text>Eq 6 for option 1 and default for option 2</text>
  </threadedComment>
  <threadedComment ref="F43" dT="2023-10-02T20:26:17.53" personId="{AB959230-5012-4FB9-AB54-C27327F321BB}" id="{03CA6374-60E3-4A04-BEC7-A0C5F1DBF2AF}">
    <text>Eq 7</text>
  </threadedComment>
  <threadedComment ref="F44" dT="2023-10-02T19:35:41.62" personId="{AB959230-5012-4FB9-AB54-C27327F321BB}" id="{6AEC3A2E-8A90-4FBF-AB3A-6B30815B8E95}">
    <text>Eq 8 for option 1 and default for option 2</text>
  </threadedComment>
  <threadedComment ref="F49" dT="2023-10-02T20:09:00.29" personId="{AB959230-5012-4FB9-AB54-C27327F321BB}" id="{83621BEF-7F05-4699-B058-23F41D25521E}">
    <text xml:space="preserve">Eq 9 with if/then for run-off wastewater that is collected and re-circulated </text>
  </threadedComment>
</ThreadedComments>
</file>

<file path=xl/threadedComments/threadedComment16.xml><?xml version="1.0" encoding="utf-8"?>
<ThreadedComments xmlns="http://schemas.microsoft.com/office/spreadsheetml/2018/threadedcomments" xmlns:x="http://schemas.openxmlformats.org/spreadsheetml/2006/main">
  <threadedComment ref="E13" dT="2023-08-03T18:04:10.78" personId="{AB959230-5012-4FB9-AB54-C27327F321BB}" id="{EFDF5DDA-058A-4C9B-988A-A1DFA97F35A0}">
    <text>Eq 1</text>
  </threadedComment>
  <threadedComment ref="E14" dT="2023-09-05T15:07:52.37" personId="{FBB660CD-FB99-4DC5-8065-D02BD05B7DC7}" id="{1274B20E-4957-4F2A-B73E-83DB3286E45B}">
    <text>Eq 3</text>
  </threadedComment>
  <threadedComment ref="E15" dT="2023-09-05T15:07:28.89" personId="{FBB660CD-FB99-4DC5-8065-D02BD05B7DC7}" id="{7F8C15E1-A88B-424C-8E66-6EA2D1BE76A4}">
    <text>Tool 05</text>
  </threadedComment>
  <threadedComment ref="F15" dT="2023-08-16T19:23:01.18" personId="{AB959230-5012-4FB9-AB54-C27327F321BB}" id="{F14A9CA8-D1EE-4766-BD7A-43DBEC291D4B}">
    <text>Comes from tool 03</text>
  </threadedComment>
  <threadedComment ref="E16" dT="2023-09-05T15:07:12.12" personId="{FBB660CD-FB99-4DC5-8065-D02BD05B7DC7}" id="{04A705DC-3817-499B-82E7-597568884FC2}">
    <text>Eq 4</text>
  </threadedComment>
  <threadedComment ref="E19" dT="2023-08-03T18:14:45.92" personId="{AB959230-5012-4FB9-AB54-C27327F321BB}" id="{1AFCAF0C-3F68-4518-9503-FB97259A2C77}">
    <text>Eq 4</text>
  </threadedComment>
  <threadedComment ref="E19" dT="2023-08-03T18:42:23.82" personId="{AB959230-5012-4FB9-AB54-C27327F321BB}" id="{51F86C30-FA3A-4196-B202-849FA15524DD}" parentId="{1AFCAF0C-3F68-4518-9503-FB97259A2C77}">
    <text xml:space="preserve">Tool 8 Tool to determine the mass flow of a greenhouse gas in a gaseous stream </text>
  </threadedComment>
  <threadedComment ref="E24" dT="2023-08-03T18:14:38.43" personId="{AB959230-5012-4FB9-AB54-C27327F321BB}" id="{FC21E873-0038-46DA-ABF2-A3FB83826BF5}">
    <text>Eq 3</text>
  </threadedComment>
  <threadedComment ref="E28" dT="2023-08-03T18:19:12.73" personId="{AB959230-5012-4FB9-AB54-C27327F321BB}" id="{CEC7F70E-070F-4DEC-B31A-E52CB42FBDBA}">
    <text>Eq 9</text>
  </threadedComment>
  <threadedComment ref="E29" dT="2023-08-03T18:26:53.25" personId="{AB959230-5012-4FB9-AB54-C27327F321BB}" id="{42AD66A2-3419-47C1-9E83-C08531E799E8}">
    <text>Eq 15</text>
  </threadedComment>
  <threadedComment ref="E31" dT="2023-08-03T18:22:54.67" personId="{AB959230-5012-4FB9-AB54-C27327F321BB}" id="{85EAE3C4-3A39-4904-9FCB-EFFCD60B7747}">
    <text>Eq 10</text>
  </threadedComment>
  <threadedComment ref="F34" dT="2023-08-03T18:35:58.01" personId="{AB959230-5012-4FB9-AB54-C27327F321BB}" id="{684ABE80-48F4-4DCB-AAD0-C7FA41BCA2FF}">
    <text>Methane</text>
  </threadedComment>
  <threadedComment ref="E37" dT="2023-08-03T18:26:34.28" personId="{AB959230-5012-4FB9-AB54-C27327F321BB}" id="{28A8904D-750A-4F6D-9EC0-B11A48B95AFD}">
    <text>Eq 16</text>
  </threadedComment>
  <threadedComment ref="E38" dT="2023-08-03T18:29:23.16" personId="{AB959230-5012-4FB9-AB54-C27327F321BB}" id="{EA056C27-489E-44DA-893B-CA9F55FE7FF2}">
    <text>Eq 17</text>
  </threadedComment>
  <threadedComment ref="E42" dT="2023-08-03T18:52:20.08" personId="{AB959230-5012-4FB9-AB54-C27327F321BB}" id="{EC2446AC-121B-48D3-AF2A-8FB85C5FA91A}">
    <text>Eq 2</text>
  </threadedComment>
  <threadedComment ref="C46" dT="2023-08-04T20:02:42.42" personId="{AB959230-5012-4FB9-AB54-C27327F321BB}" id="{9B89EF84-2890-42D9-95AB-5A82A63D9E4E}">
    <text>This data comes from tool 05</text>
  </threadedComment>
  <threadedComment ref="E47" dT="2023-08-10T14:56:00.30" personId="{AB959230-5012-4FB9-AB54-C27327F321BB}" id="{DD321998-C426-4F6A-BF1B-825CE8242589}">
    <text>Eq 1</text>
  </threadedComment>
  <threadedComment ref="E47" dT="2023-08-16T20:12:59.41" personId="{AB959230-5012-4FB9-AB54-C27327F321BB}" id="{5024D821-6C1D-45F9-A7FD-55EAECBDA054}" parentId="{DD321998-C426-4F6A-BF1B-825CE8242589}">
    <text>Tool 05</text>
  </threadedComment>
  <threadedComment ref="E49" dT="2023-08-03T19:33:15.39" personId="{AB959230-5012-4FB9-AB54-C27327F321BB}" id="{BFB86B4C-3E55-4DB3-84A4-B982B0828E2E}">
    <text>Eq 3</text>
  </threadedComment>
  <threadedComment ref="C54" dT="2023-08-04T20:03:23.24" personId="{AB959230-5012-4FB9-AB54-C27327F321BB}" id="{7107C21F-9792-4347-9CDC-479CE463C6C2}">
    <text>This data comes from tool 05</text>
  </threadedComment>
  <threadedComment ref="E55" dT="2023-08-10T14:56:00.30" personId="{AB959230-5012-4FB9-AB54-C27327F321BB}" id="{CB98C320-0DDC-4CAB-924D-45591CCF9C9F}">
    <text>Eq 1</text>
  </threadedComment>
  <threadedComment ref="E55" dT="2023-08-16T20:15:28.34" personId="{AB959230-5012-4FB9-AB54-C27327F321BB}" id="{67F7056F-4078-41E1-A2DD-7C6631C02031}" parentId="{CB98C320-0DDC-4CAB-924D-45591CCF9C9F}">
    <text>Tool 03</text>
  </threadedComment>
  <threadedComment ref="E57" dT="2023-08-03T19:41:13.38" personId="{AB959230-5012-4FB9-AB54-C27327F321BB}" id="{FFEB4DF2-F791-4D49-992C-AD59E5D4AD90}">
    <text>Eq 4</text>
  </threadedComment>
  <threadedComment ref="C62" dT="2023-08-04T20:13:11.89" personId="{AB959230-5012-4FB9-AB54-C27327F321BB}" id="{6A91C035-AF86-402A-B7ED-D1C19BE66B2D}">
    <text>Data comes from Tool 06</text>
  </threadedComment>
  <threadedComment ref="E63" dT="2023-08-16T20:17:50.63" personId="{AB959230-5012-4FB9-AB54-C27327F321BB}" id="{A3CED1DD-38A8-48B3-B410-A6E69B893D4C}">
    <text>Tool 06</text>
  </threadedComment>
  <threadedComment ref="E63" dT="2023-08-16T20:18:06.74" personId="{AB959230-5012-4FB9-AB54-C27327F321BB}" id="{EED69E64-C702-401B-B1CC-3C083D9412AB}" parentId="{A3CED1DD-38A8-48B3-B410-A6E69B893D4C}">
    <text>Eq 15</text>
  </threadedComment>
  <threadedComment ref="E65" dT="2023-08-04T19:24:29.94" personId="{AB959230-5012-4FB9-AB54-C27327F321BB}" id="{6F043615-F552-4609-A168-F59A9BDF222B}">
    <text>Eq 5</text>
  </threadedComment>
  <threadedComment ref="E69" dT="2023-08-04T19:42:52.91" personId="{AB959230-5012-4FB9-AB54-C27327F321BB}" id="{0DEEF430-F308-4F40-8ABF-4AD4E3616F9E}">
    <text>Eq 6</text>
  </threadedComment>
  <threadedComment ref="E77" dT="2023-08-04T19:47:05.88" personId="{AB959230-5012-4FB9-AB54-C27327F321BB}" id="{064EC417-825B-41F6-824E-6BAB53AACC12}">
    <text>Eq 7</text>
  </threadedComment>
  <threadedComment ref="E83" dT="2023-08-04T19:52:24.79" personId="{AB959230-5012-4FB9-AB54-C27327F321BB}" id="{1024BF4E-1409-4DF0-9EA9-82C58C3C8579}">
    <text>Eq 8</text>
  </threadedComment>
  <threadedComment ref="E89" dT="2023-08-04T19:52:24.79" personId="{AB959230-5012-4FB9-AB54-C27327F321BB}" id="{6C28D4D4-469D-414A-BA69-DC9F609D71DF}">
    <text>Eq 8</text>
  </threadedComment>
</ThreadedComments>
</file>

<file path=xl/threadedComments/threadedComment17.xml><?xml version="1.0" encoding="utf-8"?>
<ThreadedComments xmlns="http://schemas.microsoft.com/office/spreadsheetml/2018/threadedcomments" xmlns:x="http://schemas.openxmlformats.org/spreadsheetml/2006/main">
  <threadedComment ref="B38" dT="2023-09-22T17:52:54.23" personId="{DD8A8376-5DCF-4AAE-89D8-9E169965E715}" id="{32FA8A95-6B76-407D-BC9C-40C7B9953587}">
    <text>Equation 8</text>
  </threadedComment>
  <threadedComment ref="B43" dT="2023-09-22T17:20:03.85" personId="{DD8A8376-5DCF-4AAE-89D8-9E169965E715}" id="{6E12116C-0A59-49FE-AF8A-A72E2BF5E4DA}">
    <text>Equation 7</text>
  </threadedComment>
  <threadedComment ref="B48" dT="2023-09-22T16:54:06.93" personId="{DD8A8376-5DCF-4AAE-89D8-9E169965E715}" id="{D56DA566-7BDB-45EF-A73B-5C923C436A87}">
    <text>Equation 6</text>
  </threadedComment>
  <threadedComment ref="B54" dT="2023-09-22T16:20:01.99" personId="{DD8A8376-5DCF-4AAE-89D8-9E169965E715}" id="{FBAF497E-85D6-4FD2-820C-0F5F1DB9F488}">
    <text>Equation 5</text>
  </threadedComment>
  <threadedComment ref="B56" dT="2023-09-22T16:09:08.74" personId="{DD8A8376-5DCF-4AAE-89D8-9E169965E715}" id="{79D68DEA-F821-4CA7-A135-C637D3D8054C}">
    <text>Equation 4</text>
  </threadedComment>
  <threadedComment ref="B66" dT="2023-09-22T16:13:56.33" personId="{DD8A8376-5DCF-4AAE-89D8-9E169965E715}" id="{DE13F090-AC71-40EF-A1C3-055A74F27437}">
    <text>Equation 3</text>
  </threadedComment>
  <threadedComment ref="B70" dT="2023-09-22T16:08:33.70" personId="{DD8A8376-5DCF-4AAE-89D8-9E169965E715}" id="{90D6E656-59B1-419F-A59F-E455154D837D}">
    <text>Equation 2</text>
  </threadedComment>
  <threadedComment ref="B71" dT="2023-09-21T18:49:20.46" personId="{DD8A8376-5DCF-4AAE-89D8-9E169965E715}" id="{10E10ADF-24FB-4B7F-8B86-797E55343D23}">
    <text>Equation 1</text>
  </threadedComment>
  <threadedComment ref="B79" dT="2023-09-26T23:01:53.39" personId="{DD8A8376-5DCF-4AAE-89D8-9E169965E715}" id="{B016F1F1-7648-4B34-98A9-E47FA86D2124}">
    <text>Equation 13</text>
  </threadedComment>
  <threadedComment ref="B85" dT="2023-09-22T19:29:14.23" personId="{DD8A8376-5DCF-4AAE-89D8-9E169965E715}" id="{3B1E88A7-05A0-4C50-9912-CF70E20052C7}">
    <text>Equation 11</text>
  </threadedComment>
  <threadedComment ref="B91" dT="2023-09-27T21:05:11.72" personId="{DD8A8376-5DCF-4AAE-89D8-9E169965E715}" id="{014DE7F0-9F34-4FCA-8D8B-AE816DB7C32E}">
    <text>Equation 9</text>
  </threadedComment>
  <threadedComment ref="B95" dT="2023-09-26T23:02:13.22" personId="{DD8A8376-5DCF-4AAE-89D8-9E169965E715}" id="{7BFC8B06-ED72-4038-9088-EB05019B5FD5}">
    <text>Equation 14</text>
  </threadedComment>
  <threadedComment ref="B101" dT="2023-09-26T23:00:46.78" personId="{DD8A8376-5DCF-4AAE-89D8-9E169965E715}" id="{E62CC87F-DC2A-4AB0-847B-8B9A4F40BC17}">
    <text>Equation 12</text>
  </threadedComment>
  <threadedComment ref="B107" dT="2023-09-27T21:05:29.30" personId="{DD8A8376-5DCF-4AAE-89D8-9E169965E715}" id="{1A26B14B-C7F7-47D4-89EA-3D250CA62444}">
    <text>Equation 10</text>
  </threadedComment>
  <threadedComment ref="B116" dT="2023-09-26T23:05:30.00" personId="{DD8A8376-5DCF-4AAE-89D8-9E169965E715}" id="{A49D0B75-908A-4DA5-8C3C-E70DA8D9CB41}">
    <text>Equation 15</text>
  </threadedComment>
</ThreadedComments>
</file>

<file path=xl/threadedComments/threadedComment18.xml><?xml version="1.0" encoding="utf-8"?>
<ThreadedComments xmlns="http://schemas.microsoft.com/office/spreadsheetml/2018/threadedcomments" xmlns:x="http://schemas.openxmlformats.org/spreadsheetml/2006/main">
  <threadedComment ref="A1" dT="2023-09-28T20:33:45.05" personId="{DD8A8376-5DCF-4AAE-89D8-9E169965E715}" id="{61EA5ED5-8317-454F-A287-0A43790CC627}">
    <text xml:space="preserve">Add one of each of the parameters and an annual total for each year added. </text>
  </threadedComment>
  <threadedComment ref="A8" dT="2023-09-28T20:38:30.46" personId="{DD8A8376-5DCF-4AAE-89D8-9E169965E715}" id="{D3F87FD9-BE36-4EDC-8E9B-A72F54C89FAE}">
    <text xml:space="preserve">Add one of each of the parameters and an annual total for each year added. </text>
  </threadedComment>
  <threadedComment ref="A13" dT="2023-09-28T20:34:08.78" personId="{DD8A8376-5DCF-4AAE-89D8-9E169965E715}" id="{FB548790-7C20-4FFF-A73A-39537544D145}">
    <text>Unless allowed by the methodology, only positive leakage, i.e. increased emissions outside the project boundary, can be accounted under this tool. If the result of the leakage calculation is negative, assume a value equals to zero.</text>
  </threadedComment>
</ThreadedComments>
</file>

<file path=xl/threadedComments/threadedComment19.xml><?xml version="1.0" encoding="utf-8"?>
<ThreadedComments xmlns="http://schemas.microsoft.com/office/spreadsheetml/2018/threadedcomments" xmlns:x="http://schemas.openxmlformats.org/spreadsheetml/2006/main">
  <threadedComment ref="A4" dT="2023-09-29T15:58:18.25" personId="{DD8A8376-5DCF-4AAE-89D8-9E169965E715}" id="{9646E5F7-3E1A-4E49-B9C5-3983831050A3}">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5" dT="2023-09-29T15:58:38.74" personId="{DD8A8376-5DCF-4AAE-89D8-9E169965E715}" id="{637CF8C4-E155-4E8D-80AE-D80627BC9E62}">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12" dT="2023-09-29T16:59:24.43" personId="{DD8A8376-5DCF-4AAE-89D8-9E169965E715}" id="{A78B2F68-F132-4329-A5D7-B46F1AB8D31C}">
    <text xml:space="preserve">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ext>
  </threadedComment>
  <threadedComment ref="A13" dT="2023-09-29T17:29:40.91" personId="{DD8A8376-5DCF-4AAE-89D8-9E169965E715}" id="{049ECA95-B8B2-495B-A9C6-1F4592632A4F}">
    <text xml:space="preserve">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ext>
  </threadedComment>
  <threadedComment ref="A24" dT="2023-09-29T21:27:02.47" personId="{DD8A8376-5DCF-4AAE-89D8-9E169965E715}" id="{17A5C06D-2972-4EAC-9223-CD92F00F5A56}">
    <text>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ext>
  </threadedComment>
  <threadedComment ref="A25" dT="2023-09-29T21:25:01.33" personId="{DD8A8376-5DCF-4AAE-89D8-9E169965E715}" id="{C164D4E7-A8A6-49D7-AB3C-5A1D1AE930D1}">
    <text xml:space="preserve">Help Text: The stock data should be used only if there is no sales data. </text>
  </threadedComment>
  <threadedComment ref="A25" dT="2023-09-29T21:27:11.46" personId="{DD8A8376-5DCF-4AAE-89D8-9E169965E715}" id="{64B36DA8-7589-4361-88FF-075B5F8D939A}" parentId="{C164D4E7-A8A6-49D7-AB3C-5A1D1AE930D1}">
    <text xml:space="preserve">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3-08-16T16:15:54.51" personId="{AB959230-5012-4FB9-AB54-C27327F321BB}" id="{0BA5137B-8946-4F75-8E4F-7213735590D7}">
    <text>Eq 1</text>
  </threadedComment>
</ThreadedComments>
</file>

<file path=xl/threadedComments/threadedComment20.xml><?xml version="1.0" encoding="utf-8"?>
<ThreadedComments xmlns="http://schemas.microsoft.com/office/spreadsheetml/2018/threadedcomments" xmlns:x="http://schemas.openxmlformats.org/spreadsheetml/2006/main">
  <threadedComment ref="A6" dT="2023-09-30T18:08:28.21" personId="{DD8A8376-5DCF-4AAE-89D8-9E169965E715}" id="{0AD5071C-DEAC-4769-AF64-0356E24E47A3}">
    <text xml:space="preserve">Help Text: For biomass from forests and biomass from croplands or grasslands, the project boundary shall include the area where the biomass is extracted or produced. </text>
  </threadedComment>
  <threadedComment ref="A9" dT="2023-09-30T19:28:23.42" personId="{DD8A8376-5DCF-4AAE-89D8-9E169965E715}" id="{3B4726AF-84F7-4AE7-83B1-3957285E188B}">
    <text xml:space="preserve">Help Text: These emission sources may be project emissions (if under the control of project participants, i.e. if the land area where the biomass is grown is included in the project boundary) or sources of leakage (if the source is not under control of project participants).
</text>
  </threadedComment>
  <threadedComment ref="A13" dT="2023-09-30T19:38:36.75" personId="{DD8A8376-5DCF-4AAE-89D8-9E169965E715}" id="{2C22FCA1-4B5B-4DC6-9E3A-2C83EC7E0420}">
    <text xml:space="preserve">Help Text: Shifts of pre-project activities are relevant where in the absence of the project activity the land areas would be used for other purposes (i.e. agriculture). Consequently, as a first guidance, project participants may neglect leakage effects due to shifts in pre-project activities, where the land would not be used or where the land use (inside the project boundary) does not change as a result of the project activity. For other types of biomass, deforestation on other land areas as a result of shifts of preproject activities might be the most important potential leakage source. For the assessment of whether a project activity results in deforestation elsewhere, it can be necessary to evaluate whether there is significant land pressure in the area. 
</text>
  </threadedComment>
  <threadedComment ref="A17" dT="2023-09-30T20:08:32.32" personId="{DD8A8376-5DCF-4AAE-89D8-9E169965E715}" id="{89892774-869F-4252-8378-0EE0C69254EA}">
    <text>Help Text: These emissions sources shall respectively be included in a simplified manner, not involving any significant transaction costs. All other emission sources are likely to be smaller than 10% (each) - including transportation of raw materials and biomass, fossil fuel consumption for the cultivation of plantations - and can therefore be neglected in the context of SSC project activities.</text>
  </threadedComment>
  <threadedComment ref="A18" dT="2023-09-30T20:10:17.49" personId="{DD8A8376-5DCF-4AAE-89D8-9E169965E715}" id="{6F180D35-4927-4632-9AFC-2FDE53D52E48}">
    <text xml:space="preserve">Help Text: Project participants shall monitor the type and quantity of fertilizer applied to the land areas. N2O emissions from the use of synthetic and organic fertilizers shall be estimated according to provisions outlined in the Revised 1996 IPCC Guidelines for National Greenhouse Gas Inventories (Chapter. 4.5). </text>
  </threadedComment>
  <threadedComment ref="A19" dT="2023-09-30T20:11:51.02" personId="{DD8A8376-5DCF-4AAE-89D8-9E169965E715}" id="{A4F8213A-6AD8-42CF-9085-E399E8236FE7}">
    <text>Help Text: Project emissions from clearance of lands can be significant in cases where an area is deforested to produce the biomass. In other cases, the land area (e.g., abandoned land) can regenerate in the absence of production of the biomass resulting in increasing carbon stocks in carbon pools. As a consequence, carbon stocks in carbon pools could be higher in the baseline scenario than in the project scenario. However, as a simplification, it is suggested to neglect this latter case. The potential of deforestation due to the implementation of the CDM project activity must be addressed by considering the following applicability condition: Where the project activity involves the use of a type of renewable biomass that is not a biomass residues or waste, project participants shall demonstrate that the area where the biomass is grown is not a forest (as per DNA forest definition) and has not been deforested, according to the forest definition by the national DNA, during the last 10 years prior to the implementation of the project activity. In the absence of forest definition from the DNA, definitions provided by relevant international organisations (e.g., FAO) shall be used.</text>
  </threadedComment>
  <threadedComment ref="A22" dT="2023-10-02T19:50:51.02" personId="{DD8A8376-5DCF-4AAE-89D8-9E169965E715}" id="{88D565B5-7F2E-4CA5-8307-26B396850929}">
    <text xml:space="preserve">Help Text: This shall be demonstrated using published literature, official reports, surveys etc. The surplus must be at least 25% larger than the quantity of biomass that is utilized including the project activity. </text>
  </threadedComment>
</ThreadedComments>
</file>

<file path=xl/threadedComments/threadedComment3.xml><?xml version="1.0" encoding="utf-8"?>
<ThreadedComments xmlns="http://schemas.microsoft.com/office/spreadsheetml/2018/threadedcomments" xmlns:x="http://schemas.openxmlformats.org/spreadsheetml/2006/main">
  <threadedComment ref="B34" dT="2023-09-14T15:57:32.66" personId="{DD8A8376-5DCF-4AAE-89D8-9E169965E715}" id="{8C8B3660-61F4-4070-BB38-C8EB414278E6}">
    <text>Equation 3</text>
  </threadedComment>
  <threadedComment ref="B35" dT="2023-09-14T15:57:50.52" personId="{DD8A8376-5DCF-4AAE-89D8-9E169965E715}" id="{B426CF24-C624-4583-88A2-FF224D7F8164}">
    <text>Equation 4</text>
  </threadedComment>
  <threadedComment ref="B44" dT="2023-09-14T16:00:06.57" personId="{DD8A8376-5DCF-4AAE-89D8-9E169965E715}" id="{84BEC392-622E-44A6-9937-C0CBEAC0D297}">
    <text>Equation 7</text>
  </threadedComment>
  <threadedComment ref="B45" dT="2023-09-14T15:58:31.69" personId="{DD8A8376-5DCF-4AAE-89D8-9E169965E715}" id="{B1E967E5-39F5-433C-B1E7-FA43747AF180}">
    <text>Equation 5</text>
  </threadedComment>
  <threadedComment ref="B54" dT="2023-09-14T16:00:45.83" personId="{DD8A8376-5DCF-4AAE-89D8-9E169965E715}" id="{394E0161-FDCA-4FDF-A3F2-92373E6D4313}">
    <text>Equation 9</text>
  </threadedComment>
  <threadedComment ref="B59" dT="2023-09-14T16:01:11.41" personId="{DD8A8376-5DCF-4AAE-89D8-9E169965E715}" id="{4D7F7A5F-5E6F-496D-86FC-F3F47690119E}">
    <text>Equation 11</text>
  </threadedComment>
  <threadedComment ref="B66" dT="2023-09-14T16:02:00.74" personId="{DD8A8376-5DCF-4AAE-89D8-9E169965E715}" id="{9B0D2B2A-EFBF-406A-A2A9-13B9B4108A67}">
    <text>Equation 12</text>
  </threadedComment>
  <threadedComment ref="B86" dT="2023-09-08T16:51:38.02" personId="{DD8A8376-5DCF-4AAE-89D8-9E169965E715}" id="{FDAA42E9-80D5-4A76-89B0-F8C7FD979787}">
    <text>Equation 1</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3-09-14T16:39:36.76" personId="{DD8A8376-5DCF-4AAE-89D8-9E169965E715}" id="{6ED1E757-956C-44A3-9A6F-DF8412497CC2}">
    <text>Add a line for each SWDS CH4 calculation instance added</text>
  </threadedComment>
</ThreadedComments>
</file>

<file path=xl/threadedComments/threadedComment5.xml><?xml version="1.0" encoding="utf-8"?>
<ThreadedComments xmlns="http://schemas.microsoft.com/office/spreadsheetml/2018/threadedcomments" xmlns:x="http://schemas.openxmlformats.org/spreadsheetml/2006/main">
  <threadedComment ref="F6" dT="2023-08-10T14:56:00.30" personId="{AB959230-5012-4FB9-AB54-C27327F321BB}" id="{241EE2ED-CE98-4676-AA0C-8DD60FB90173}">
    <text>Eq 1</text>
  </threadedComment>
  <threadedComment ref="F11" dT="2023-08-10T14:56:07.23" personId="{AB959230-5012-4FB9-AB54-C27327F321BB}" id="{7CADBB56-0B15-4698-AEB1-970EDD8D17C5}">
    <text>Eq 2</text>
  </threadedComment>
  <threadedComment ref="F13" dT="2023-08-14T21:55:53.61" personId="{AB959230-5012-4FB9-AB54-C27327F321BB}" id="{7F42A2CC-2F1A-4447-9050-2A00D298BE13}">
    <text>At least monthly recording of data</text>
  </threadedComment>
  <threadedComment ref="F16" dT="2023-08-10T14:56:16.16" personId="{AB959230-5012-4FB9-AB54-C27327F321BB}" id="{F21DB304-5220-4FCE-AF2B-2D546477592C}">
    <text>Eq 3</text>
  </threadedComment>
  <threadedComment ref="F22" dT="2023-08-22T01:12:00.32" personId="{AB959230-5012-4FB9-AB54-C27327F321BB}" id="{D2D680F3-426B-42AA-A25F-FD54436691E7}">
    <text>Eq 7</text>
  </threadedComment>
  <threadedComment ref="F23" dT="2023-08-22T01:12:36.84" personId="{AB959230-5012-4FB9-AB54-C27327F321BB}" id="{9F177AB6-C37A-41EE-A80D-3D70F736921B}">
    <text>Eq 8</text>
  </threadedComment>
  <threadedComment ref="F37" dT="2023-08-10T15:56:01.08" personId="{AB959230-5012-4FB9-AB54-C27327F321BB}" id="{17CD2BC9-6009-44AD-AAC4-EC7DDFA3861E}">
    <text>Eq 4</text>
  </threadedComment>
  <threadedComment ref="F38" dT="2023-08-10T21:11:09.42" personId="{AB959230-5012-4FB9-AB54-C27327F321BB}" id="{5697C82E-AF2E-4C2F-A1E6-A6B7A8CCC2CB}">
    <text>Eq 5</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8-10T15:56:01.08" personId="{AB959230-5012-4FB9-AB54-C27327F321BB}" id="{5DF69D01-9AF8-4916-AED2-4CC42D3D3D7F}">
    <text>Eq 4</text>
  </threadedComment>
  <threadedComment ref="F4" dT="2023-08-10T21:11:09.42" personId="{AB959230-5012-4FB9-AB54-C27327F321BB}" id="{36F33592-294F-42E7-B6D0-40972BB70E0E}">
    <text>Eq 5</text>
  </threadedComment>
  <threadedComment ref="F7" dT="2023-08-10T15:56:01.08" personId="{AB959230-5012-4FB9-AB54-C27327F321BB}" id="{883228E2-12A7-4FA8-9C1A-59CD5A780E4F}">
    <text>Eq 4</text>
  </threadedComment>
  <threadedComment ref="F8" dT="2023-08-10T21:11:09.42" personId="{AB959230-5012-4FB9-AB54-C27327F321BB}" id="{84E32CD5-D768-42EE-A4CA-4F823F79EC35}">
    <text>Eq 5</text>
  </threadedComment>
  <threadedComment ref="F10" dT="2023-08-10T21:00:37.41" personId="{AB959230-5012-4FB9-AB54-C27327F321BB}" id="{91D9319F-A48C-40A6-8018-29A549EFB79D}">
    <text>Assumptions are made for this that the unit for FCn,i,t is in metric tons</text>
  </threadedComment>
  <threadedComment ref="G10" dT="2023-08-10T19:37:59.63" personId="{AB959230-5012-4FB9-AB54-C27327F321BB}" id="{205E3575-77B9-43E6-8AAD-7880C7AF2054}">
    <text>Dependent on fuel type selection</text>
  </threadedComment>
  <threadedComment ref="G11" dT="2023-08-10T19:38:12.02" personId="{AB959230-5012-4FB9-AB54-C27327F321BB}" id="{2FBB5051-3BFA-4411-AC08-20C88E3F23A3}">
    <text>Dependent on fuel type selection</text>
  </threadedComment>
  <threadedComment ref="F12" dT="2023-08-10T20:53:47.04" personId="{AB959230-5012-4FB9-AB54-C27327F321BB}" id="{41D7256F-5CFA-454E-82BF-212022FDCC69}">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AB959230-5012-4FB9-AB54-C27327F321BB}" id="{7F35FA82-03DB-4E7E-95DC-871394863968}">
    <text>Eq 4</text>
  </threadedComment>
  <threadedComment ref="F20" dT="2023-08-10T21:11:09.42" personId="{AB959230-5012-4FB9-AB54-C27327F321BB}" id="{7088DA55-8C55-4D98-8085-F3B19DA646EC}">
    <text>Eq 5</text>
  </threadedComment>
  <threadedComment ref="F22" dT="2023-08-10T21:00:37.41" personId="{AB959230-5012-4FB9-AB54-C27327F321BB}" id="{561F0F56-8782-48BD-871B-30BFD0799816}">
    <text>Assumptions are made for this that the unit for FCn,i,t is in metric tons</text>
  </threadedComment>
  <threadedComment ref="G22" dT="2023-08-10T19:37:59.63" personId="{AB959230-5012-4FB9-AB54-C27327F321BB}" id="{7E958901-C323-4395-A38A-282B49A34328}">
    <text>Dependent on fuel type selection</text>
  </threadedComment>
  <threadedComment ref="G23" dT="2023-08-10T19:38:12.02" personId="{AB959230-5012-4FB9-AB54-C27327F321BB}" id="{449C686F-8C4E-4181-84A2-2E57384DD0AD}">
    <text>Dependent on fuel type selection</text>
  </threadedComment>
  <threadedComment ref="F24" dT="2023-08-10T20:53:47.04" personId="{AB959230-5012-4FB9-AB54-C27327F321BB}" id="{CBC54725-94F6-401C-9E21-06BAB1DF8238}">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AB959230-5012-4FB9-AB54-C27327F321BB}" id="{AF039C15-3A0E-460B-BD9F-6984DBBDF6CB}">
    <text>Eq 4</text>
  </threadedComment>
  <threadedComment ref="F32" dT="2023-08-10T21:11:09.42" personId="{AB959230-5012-4FB9-AB54-C27327F321BB}" id="{B1C7C0B3-4DEA-42B2-B973-62967AE13D67}">
    <text>Eq 5</text>
  </threadedComment>
  <threadedComment ref="F34" dT="2023-08-10T21:00:37.41" personId="{AB959230-5012-4FB9-AB54-C27327F321BB}" id="{7E8B5D89-B3A0-45CF-9CF9-2E70983FAEA7}">
    <text>Assumptions are made for this that the unit for FCn,i,t is in metric tons</text>
  </threadedComment>
  <threadedComment ref="G34" dT="2023-08-10T19:37:59.63" personId="{AB959230-5012-4FB9-AB54-C27327F321BB}" id="{3E062CAE-7853-466B-ACB6-DD046D9B1624}">
    <text>Dependent on fuel type selection</text>
  </threadedComment>
  <threadedComment ref="G35" dT="2023-08-10T19:38:12.02" personId="{AB959230-5012-4FB9-AB54-C27327F321BB}" id="{7A6A337D-CB72-42EA-BABD-A6404572377A}">
    <text>Dependent on fuel type selection</text>
  </threadedComment>
  <threadedComment ref="F36" dT="2023-08-10T20:53:47.04" personId="{AB959230-5012-4FB9-AB54-C27327F321BB}" id="{0CA0F82F-842C-4B13-A56F-182C2E6095F1}">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7.xml><?xml version="1.0" encoding="utf-8"?>
<ThreadedComments xmlns="http://schemas.microsoft.com/office/spreadsheetml/2018/threadedcomments" xmlns:x="http://schemas.openxmlformats.org/spreadsheetml/2006/main">
  <threadedComment ref="D3" dT="2023-08-10T16:26:52.04" personId="{AB959230-5012-4FB9-AB54-C27327F321BB}" id="{E6C92DB4-D90E-4933-BDAD-2E4F7DB1697C}">
    <text>Upper Default Value at the 95% confidence interval</text>
  </threadedComment>
</ThreadedComments>
</file>

<file path=xl/threadedComments/threadedComment8.xml><?xml version="1.0" encoding="utf-8"?>
<ThreadedComments xmlns="http://schemas.microsoft.com/office/spreadsheetml/2018/threadedcomments" xmlns:x="http://schemas.openxmlformats.org/spreadsheetml/2006/main">
  <threadedComment ref="C44" dT="2023-08-07T18:31:59.03" personId="{AB959230-5012-4FB9-AB54-C27327F321BB}" id="{38836FAA-1F8D-4B77-96D1-AE2E4987DF9E}">
    <text>Eq 5</text>
  </threadedComment>
  <threadedComment ref="C45" dT="2023-08-07T18:37:45.62" personId="{AB959230-5012-4FB9-AB54-C27327F321BB}" id="{B39D5E90-222E-40D5-A048-84DAD73DA21E}">
    <text>Eq 6</text>
  </threadedComment>
  <threadedComment ref="C48" dT="2023-08-07T18:37:33.62" personId="{AB959230-5012-4FB9-AB54-C27327F321BB}" id="{368356BB-DB3B-48F4-9F08-D195A73C7FFD}">
    <text>Eq 7</text>
  </threadedComment>
  <threadedComment ref="C49" dT="2023-08-07T18:58:57.06" personId="{AB959230-5012-4FB9-AB54-C27327F321BB}" id="{32CA48B0-23F5-4EB4-B56B-5CD94038C17D}">
    <text>Comes from tool 08</text>
  </threadedComment>
  <threadedComment ref="C50" dT="2023-08-07T19:02:06.06" personId="{AB959230-5012-4FB9-AB54-C27327F321BB}" id="{09FD1F75-F2BE-494F-8D27-B3940F03A6A6}">
    <text>Eq 5 in tool 08</text>
  </threadedComment>
  <threadedComment ref="C51" dT="2023-08-07T18:58:57.06" personId="{AB959230-5012-4FB9-AB54-C27327F321BB}" id="{9690CDFA-4726-4BE0-8747-403900AC0739}">
    <text>Comes from tool 08</text>
  </threadedComment>
  <threadedComment ref="C54" dT="2023-08-07T20:32:58.24" personId="{AB959230-5012-4FB9-AB54-C27327F321BB}" id="{557A884A-ABC3-4C4E-A37A-743BE117F2ED}">
    <text>Eq 3</text>
  </threadedComment>
  <threadedComment ref="C56" dT="2023-08-07T19:07:00.47" personId="{AB959230-5012-4FB9-AB54-C27327F321BB}" id="{2C731843-F625-4B2E-A4B2-9A3FD1DE3A43}">
    <text>Eq 4</text>
  </threadedComment>
  <threadedComment ref="C57" dT="2023-08-07T19:07:25.43" personId="{AB959230-5012-4FB9-AB54-C27327F321BB}" id="{AE5E0DF2-CD96-4C0E-949F-40AD50485CAE}">
    <text>Eq 8</text>
  </threadedComment>
  <threadedComment ref="C58" dT="2023-08-07T19:08:12.17" personId="{AB959230-5012-4FB9-AB54-C27327F321BB}" id="{6B9DD6DA-9BC6-48A1-B716-B0C9EBF4A13C}">
    <text>Eq 9</text>
  </threadedComment>
  <threadedComment ref="C59" dT="2023-08-07T19:08:57.03" personId="{AB959230-5012-4FB9-AB54-C27327F321BB}" id="{84B450C3-ACC6-4F60-9CE7-F80353EE4165}">
    <text>Eq 10</text>
  </threadedComment>
  <threadedComment ref="C60" dT="2023-08-07T19:09:14.09" personId="{AB959230-5012-4FB9-AB54-C27327F321BB}" id="{12197156-05F5-481D-9267-716FEE5C36DE}">
    <text>Eq 11</text>
  </threadedComment>
  <threadedComment ref="C61" dT="2023-08-07T19:09:51.89" personId="{AB959230-5012-4FB9-AB54-C27327F321BB}" id="{B71DBA06-0373-454F-961D-6379E6EC0699}">
    <text>Eq 12</text>
  </threadedComment>
  <threadedComment ref="C62" dT="2023-08-07T19:10:10.48" personId="{AB959230-5012-4FB9-AB54-C27327F321BB}" id="{B5E2E43F-80FB-47BE-9803-9B19A3FBDEF0}">
    <text>Eq 13</text>
  </threadedComment>
  <threadedComment ref="C64" dT="2023-08-07T19:19:04.14" personId="{AB959230-5012-4FB9-AB54-C27327F321BB}" id="{7E621A16-4BDC-463A-9F64-3221C9B5E8FB}">
    <text>Eq 14</text>
  </threadedComment>
  <threadedComment ref="C65" dT="2023-08-07T19:19:12.89" personId="{AB959230-5012-4FB9-AB54-C27327F321BB}" id="{32FD0FDE-1DF9-4BB5-8EB7-8504AE8F8DD6}">
    <text>Eq 14</text>
  </threadedComment>
  <threadedComment ref="C66" dT="2023-08-07T19:19:19.16" personId="{AB959230-5012-4FB9-AB54-C27327F321BB}" id="{3935870F-A1E2-444D-A861-1E594BC6EC6A}">
    <text>Eq 14</text>
  </threadedComment>
  <threadedComment ref="C67" dT="2023-08-07T19:19:27.70" personId="{AB959230-5012-4FB9-AB54-C27327F321BB}" id="{70E2437A-75F7-4F2E-B8C7-DD0A8B243530}">
    <text>Eq 14</text>
  </threadedComment>
  <threadedComment ref="C69" dT="2023-08-07T21:12:45.72" personId="{AB959230-5012-4FB9-AB54-C27327F321BB}" id="{7DD12030-2471-4CCE-BF5E-72FBE37FD1AB}">
    <text>Eq 15</text>
  </threadedComment>
</ThreadedComments>
</file>

<file path=xl/threadedComments/threadedComment9.xml><?xml version="1.0" encoding="utf-8"?>
<ThreadedComments xmlns="http://schemas.microsoft.com/office/spreadsheetml/2018/threadedcomments" xmlns:x="http://schemas.openxmlformats.org/spreadsheetml/2006/main">
  <threadedComment ref="F4" dT="2023-09-11T16:43:47.38" personId="{AB959230-5012-4FB9-AB54-C27327F321BB}" id="{FCD54CE5-F831-46BF-A3A6-508281F90123}">
    <text>Eq 3</text>
  </threadedComment>
  <threadedComment ref="F6" dT="2023-09-11T16:43:47.38" personId="{AB959230-5012-4FB9-AB54-C27327F321BB}" id="{EE4C944F-CA65-4002-B94D-E73E46D9E2F6}">
    <text>Eq 3</text>
  </threadedComment>
  <threadedComment ref="F11" dT="2023-09-11T16:49:57.34" personId="{AB959230-5012-4FB9-AB54-C27327F321BB}" id="{AE2F9B65-18AE-4CB7-802F-847C395B3C74}">
    <text>Eq 4</text>
  </threadedComment>
  <threadedComment ref="F22" dT="2023-09-11T20:22:43.98" personId="{AB959230-5012-4FB9-AB54-C27327F321BB}" id="{EC110BF9-68AE-4FAC-9F9C-256F862408C9}">
    <text>Eq 5</text>
  </threadedComment>
  <threadedComment ref="F30" dT="2023-09-11T20:44:10.79" personId="{AB959230-5012-4FB9-AB54-C27327F321BB}" id="{E987DFB9-B01B-4E01-853B-E0ADF2237B5F}">
    <text>Eq 9</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oe@yahoo.ne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9.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7.xml.rels><?xml version="1.0" encoding="UTF-8" standalone="yes"?>
<Relationships xmlns="http://schemas.openxmlformats.org/package/2006/relationships"><Relationship Id="rId3" Type="http://schemas.microsoft.com/office/2017/10/relationships/threadedComment" Target="../threadedComments/threadedComment20.xml"/><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14EB7-4B19-4559-8BA1-A4BE7B2890F1}">
  <dimension ref="A1:J188"/>
  <sheetViews>
    <sheetView tabSelected="1" zoomScaleNormal="100" workbookViewId="0">
      <pane ySplit="1" topLeftCell="A2" activePane="bottomLeft" state="frozen"/>
      <selection pane="bottomLeft" activeCell="D7" sqref="D7"/>
    </sheetView>
  </sheetViews>
  <sheetFormatPr defaultRowHeight="15"/>
  <cols>
    <col min="1" max="1" width="16" customWidth="1"/>
    <col min="2" max="2" width="26.7109375" customWidth="1"/>
    <col min="3" max="3" width="70.42578125" style="1" customWidth="1"/>
    <col min="4" max="4" width="69.140625" customWidth="1"/>
    <col min="5" max="5" width="12.42578125" customWidth="1"/>
    <col min="6" max="6" width="33" customWidth="1"/>
    <col min="7" max="7" width="28.42578125" customWidth="1"/>
    <col min="8" max="8" width="15.85546875" customWidth="1"/>
    <col min="9" max="9" width="27.5703125" customWidth="1"/>
    <col min="10" max="10" width="22.7109375" customWidth="1"/>
  </cols>
  <sheetData>
    <row r="1" spans="1:10" s="8" customFormat="1" ht="37.5">
      <c r="A1" s="8" t="s">
        <v>0</v>
      </c>
      <c r="B1" s="8" t="s">
        <v>1</v>
      </c>
      <c r="C1" s="7" t="s">
        <v>2</v>
      </c>
      <c r="D1" s="8" t="s">
        <v>3</v>
      </c>
      <c r="E1" s="7" t="s">
        <v>4</v>
      </c>
      <c r="F1" s="8" t="s">
        <v>5</v>
      </c>
      <c r="G1" s="8" t="s">
        <v>6</v>
      </c>
      <c r="H1" s="8" t="s">
        <v>7</v>
      </c>
      <c r="I1" s="8" t="s">
        <v>8</v>
      </c>
      <c r="J1" s="8" t="s">
        <v>9</v>
      </c>
    </row>
    <row r="2" spans="1:10" s="10" customFormat="1" ht="18.75">
      <c r="C2" s="9" t="s">
        <v>10</v>
      </c>
    </row>
    <row r="3" spans="1:10" ht="165">
      <c r="A3" s="166"/>
      <c r="B3" t="s">
        <v>11</v>
      </c>
      <c r="C3" s="99" t="s">
        <v>12</v>
      </c>
      <c r="D3" s="1" t="s">
        <v>13</v>
      </c>
      <c r="E3" t="s">
        <v>14</v>
      </c>
      <c r="H3" t="s">
        <v>15</v>
      </c>
      <c r="I3" t="s">
        <v>16</v>
      </c>
    </row>
    <row r="4" spans="1:10">
      <c r="A4" s="166" t="s">
        <v>17</v>
      </c>
      <c r="B4" t="s">
        <v>11</v>
      </c>
      <c r="C4" s="99" t="s">
        <v>18</v>
      </c>
      <c r="D4" s="1" t="s">
        <v>19</v>
      </c>
      <c r="E4" t="s">
        <v>14</v>
      </c>
      <c r="H4" t="s">
        <v>15</v>
      </c>
      <c r="I4" t="s">
        <v>16</v>
      </c>
    </row>
    <row r="5" spans="1:10">
      <c r="A5" s="166" t="s">
        <v>20</v>
      </c>
      <c r="B5" t="s">
        <v>11</v>
      </c>
      <c r="C5" s="99" t="s">
        <v>21</v>
      </c>
      <c r="D5" s="1" t="s">
        <v>22</v>
      </c>
      <c r="E5" t="s">
        <v>14</v>
      </c>
      <c r="H5" t="s">
        <v>15</v>
      </c>
      <c r="I5" t="s">
        <v>14</v>
      </c>
    </row>
    <row r="6" spans="1:10" ht="30">
      <c r="A6" s="166"/>
      <c r="B6" t="s">
        <v>11</v>
      </c>
      <c r="C6" s="99" t="s">
        <v>23</v>
      </c>
      <c r="D6" s="1" t="s">
        <v>24</v>
      </c>
      <c r="E6" t="s">
        <v>14</v>
      </c>
      <c r="H6" t="s">
        <v>15</v>
      </c>
      <c r="I6" t="s">
        <v>14</v>
      </c>
    </row>
    <row r="7" spans="1:10">
      <c r="A7" s="166" t="s">
        <v>25</v>
      </c>
      <c r="B7" t="s">
        <v>11</v>
      </c>
      <c r="C7" s="99" t="s">
        <v>26</v>
      </c>
      <c r="D7" s="1" t="s">
        <v>27</v>
      </c>
      <c r="E7" t="s">
        <v>14</v>
      </c>
      <c r="H7" t="s">
        <v>28</v>
      </c>
    </row>
    <row r="8" spans="1:10">
      <c r="A8" s="166" t="s">
        <v>29</v>
      </c>
      <c r="B8" t="s">
        <v>11</v>
      </c>
      <c r="C8" s="99" t="s">
        <v>30</v>
      </c>
      <c r="D8" s="120" t="s">
        <v>31</v>
      </c>
      <c r="E8" t="s">
        <v>14</v>
      </c>
      <c r="H8" t="s">
        <v>15</v>
      </c>
    </row>
    <row r="9" spans="1:10">
      <c r="A9" s="166" t="s">
        <v>32</v>
      </c>
      <c r="B9" t="s">
        <v>11</v>
      </c>
      <c r="C9" s="99" t="s">
        <v>33</v>
      </c>
      <c r="D9" s="120" t="s">
        <v>34</v>
      </c>
      <c r="E9" t="s">
        <v>14</v>
      </c>
      <c r="H9" t="s">
        <v>15</v>
      </c>
    </row>
    <row r="10" spans="1:10" ht="45">
      <c r="A10" s="166" t="s">
        <v>35</v>
      </c>
      <c r="B10" t="s">
        <v>11</v>
      </c>
      <c r="C10" s="162" t="s">
        <v>36</v>
      </c>
      <c r="D10" s="1" t="s">
        <v>37</v>
      </c>
      <c r="E10" t="s">
        <v>14</v>
      </c>
      <c r="H10" t="s">
        <v>15</v>
      </c>
      <c r="I10" t="s">
        <v>14</v>
      </c>
    </row>
    <row r="11" spans="1:10" ht="210">
      <c r="A11" s="166"/>
      <c r="B11" t="s">
        <v>11</v>
      </c>
      <c r="C11" s="99" t="s">
        <v>38</v>
      </c>
      <c r="D11" s="1" t="s">
        <v>39</v>
      </c>
      <c r="E11" t="s">
        <v>14</v>
      </c>
      <c r="H11" t="s">
        <v>15</v>
      </c>
      <c r="I11" t="s">
        <v>16</v>
      </c>
    </row>
    <row r="12" spans="1:10">
      <c r="A12" s="166" t="s">
        <v>40</v>
      </c>
      <c r="B12" t="s">
        <v>11</v>
      </c>
      <c r="C12" s="99" t="s">
        <v>41</v>
      </c>
      <c r="D12" s="1" t="s">
        <v>42</v>
      </c>
      <c r="E12" t="s">
        <v>14</v>
      </c>
      <c r="H12" t="s">
        <v>15</v>
      </c>
      <c r="I12" t="s">
        <v>16</v>
      </c>
    </row>
    <row r="13" spans="1:10">
      <c r="A13" s="166"/>
      <c r="B13" t="s">
        <v>11</v>
      </c>
      <c r="C13" s="99" t="s">
        <v>43</v>
      </c>
      <c r="D13" s="1" t="s">
        <v>44</v>
      </c>
      <c r="E13" t="s">
        <v>14</v>
      </c>
      <c r="H13" t="s">
        <v>45</v>
      </c>
      <c r="I13" t="s">
        <v>16</v>
      </c>
    </row>
    <row r="14" spans="1:10">
      <c r="A14" s="166"/>
      <c r="B14" t="s">
        <v>11</v>
      </c>
      <c r="C14" s="99" t="s">
        <v>46</v>
      </c>
      <c r="D14" s="1" t="s">
        <v>47</v>
      </c>
      <c r="E14" t="s">
        <v>14</v>
      </c>
      <c r="H14" t="s">
        <v>15</v>
      </c>
      <c r="I14" t="s">
        <v>16</v>
      </c>
    </row>
    <row r="15" spans="1:10">
      <c r="A15" s="166" t="s">
        <v>48</v>
      </c>
      <c r="B15" t="s">
        <v>11</v>
      </c>
      <c r="C15" s="99" t="s">
        <v>49</v>
      </c>
      <c r="D15" s="1" t="s">
        <v>50</v>
      </c>
      <c r="E15" t="s">
        <v>14</v>
      </c>
      <c r="H15" t="s">
        <v>51</v>
      </c>
      <c r="I15" t="s">
        <v>16</v>
      </c>
    </row>
    <row r="16" spans="1:10">
      <c r="A16" s="166"/>
      <c r="B16" t="s">
        <v>11</v>
      </c>
      <c r="C16" s="99" t="s">
        <v>52</v>
      </c>
      <c r="D16" s="1" t="s">
        <v>53</v>
      </c>
      <c r="E16" t="s">
        <v>14</v>
      </c>
      <c r="H16" t="s">
        <v>54</v>
      </c>
      <c r="I16" t="s">
        <v>16</v>
      </c>
    </row>
    <row r="17" spans="1:9">
      <c r="A17" s="166"/>
      <c r="B17" t="s">
        <v>11</v>
      </c>
      <c r="C17" s="99" t="s">
        <v>55</v>
      </c>
      <c r="D17" s="182" t="s">
        <v>56</v>
      </c>
      <c r="E17" t="s">
        <v>14</v>
      </c>
      <c r="H17" t="s">
        <v>57</v>
      </c>
      <c r="I17" t="s">
        <v>16</v>
      </c>
    </row>
    <row r="18" spans="1:9">
      <c r="A18" s="166"/>
      <c r="B18" t="s">
        <v>11</v>
      </c>
      <c r="C18" s="99" t="s">
        <v>58</v>
      </c>
      <c r="D18" s="1" t="s">
        <v>16</v>
      </c>
      <c r="E18" t="s">
        <v>14</v>
      </c>
      <c r="H18" t="s">
        <v>15</v>
      </c>
      <c r="I18" t="s">
        <v>16</v>
      </c>
    </row>
    <row r="19" spans="1:9">
      <c r="A19" s="166"/>
      <c r="B19" t="s">
        <v>11</v>
      </c>
      <c r="C19" s="99" t="s">
        <v>59</v>
      </c>
      <c r="D19" s="1" t="s">
        <v>16</v>
      </c>
      <c r="E19" t="s">
        <v>14</v>
      </c>
      <c r="H19" t="s">
        <v>15</v>
      </c>
      <c r="I19" t="s">
        <v>16</v>
      </c>
    </row>
    <row r="20" spans="1:9" ht="30">
      <c r="A20" s="166" t="s">
        <v>60</v>
      </c>
      <c r="B20" t="s">
        <v>11</v>
      </c>
      <c r="C20" s="99" t="s">
        <v>61</v>
      </c>
      <c r="D20" s="1" t="s">
        <v>62</v>
      </c>
      <c r="E20" t="s">
        <v>14</v>
      </c>
      <c r="H20" t="s">
        <v>63</v>
      </c>
      <c r="I20" t="s">
        <v>14</v>
      </c>
    </row>
    <row r="21" spans="1:9">
      <c r="A21" s="166" t="s">
        <v>64</v>
      </c>
      <c r="B21" t="s">
        <v>11</v>
      </c>
      <c r="C21" s="99" t="s">
        <v>65</v>
      </c>
      <c r="D21" s="183">
        <v>43101</v>
      </c>
      <c r="E21" t="s">
        <v>14</v>
      </c>
      <c r="H21" t="s">
        <v>66</v>
      </c>
      <c r="I21" t="s">
        <v>16</v>
      </c>
    </row>
    <row r="22" spans="1:9">
      <c r="A22" s="166" t="s">
        <v>67</v>
      </c>
      <c r="B22" t="s">
        <v>11</v>
      </c>
      <c r="C22" s="59" t="s">
        <v>68</v>
      </c>
      <c r="D22" s="132" t="s">
        <v>69</v>
      </c>
      <c r="E22" t="s">
        <v>14</v>
      </c>
      <c r="H22" t="s">
        <v>70</v>
      </c>
      <c r="I22" t="s">
        <v>14</v>
      </c>
    </row>
    <row r="23" spans="1:9">
      <c r="A23" s="166" t="s">
        <v>71</v>
      </c>
      <c r="B23" t="s">
        <v>11</v>
      </c>
      <c r="C23" s="59" t="s">
        <v>72</v>
      </c>
      <c r="D23" s="132" t="s">
        <v>69</v>
      </c>
      <c r="E23" t="s">
        <v>14</v>
      </c>
      <c r="H23" t="s">
        <v>70</v>
      </c>
      <c r="I23" t="s">
        <v>14</v>
      </c>
    </row>
    <row r="24" spans="1:9" ht="30">
      <c r="A24" s="166"/>
      <c r="B24" t="s">
        <v>11</v>
      </c>
      <c r="C24" s="59" t="s">
        <v>73</v>
      </c>
      <c r="D24" s="1" t="s">
        <v>74</v>
      </c>
      <c r="E24" t="s">
        <v>14</v>
      </c>
      <c r="H24" t="s">
        <v>15</v>
      </c>
      <c r="I24" t="s">
        <v>16</v>
      </c>
    </row>
    <row r="25" spans="1:9" ht="45">
      <c r="A25" s="166"/>
      <c r="B25" t="s">
        <v>11</v>
      </c>
      <c r="C25" t="s">
        <v>75</v>
      </c>
      <c r="D25" s="1" t="s">
        <v>76</v>
      </c>
      <c r="E25" t="s">
        <v>14</v>
      </c>
      <c r="H25" t="s">
        <v>15</v>
      </c>
      <c r="I25" t="s">
        <v>16</v>
      </c>
    </row>
    <row r="26" spans="1:9">
      <c r="A26" s="166" t="s">
        <v>77</v>
      </c>
      <c r="B26" t="s">
        <v>11</v>
      </c>
      <c r="C26" t="s">
        <v>78</v>
      </c>
      <c r="D26" s="1" t="s">
        <v>79</v>
      </c>
      <c r="E26" t="s">
        <v>14</v>
      </c>
      <c r="H26" t="s">
        <v>15</v>
      </c>
      <c r="I26" t="s">
        <v>16</v>
      </c>
    </row>
    <row r="27" spans="1:9">
      <c r="A27" s="166"/>
      <c r="B27" t="s">
        <v>11</v>
      </c>
      <c r="C27" t="s">
        <v>80</v>
      </c>
      <c r="D27" s="1" t="s">
        <v>81</v>
      </c>
      <c r="E27" t="s">
        <v>14</v>
      </c>
      <c r="H27" t="s">
        <v>15</v>
      </c>
      <c r="I27" t="s">
        <v>16</v>
      </c>
    </row>
    <row r="28" spans="1:9" s="10" customFormat="1" ht="18.75">
      <c r="C28" s="9" t="s">
        <v>82</v>
      </c>
    </row>
    <row r="29" spans="1:9" s="25" customFormat="1" ht="45">
      <c r="B29" s="25" t="s">
        <v>11</v>
      </c>
      <c r="C29" s="26" t="s">
        <v>83</v>
      </c>
      <c r="D29" s="25" t="s">
        <v>14</v>
      </c>
      <c r="E29" s="25" t="s">
        <v>14</v>
      </c>
      <c r="H29" s="25" t="s">
        <v>28</v>
      </c>
      <c r="I29" s="25" t="s">
        <v>16</v>
      </c>
    </row>
    <row r="30" spans="1:9" s="25" customFormat="1">
      <c r="B30" s="25" t="s">
        <v>11</v>
      </c>
      <c r="C30" s="26" t="s">
        <v>84</v>
      </c>
      <c r="D30" s="25" t="s">
        <v>16</v>
      </c>
      <c r="E30" s="25" t="s">
        <v>14</v>
      </c>
      <c r="H30" s="25" t="s">
        <v>28</v>
      </c>
      <c r="I30" s="25" t="s">
        <v>16</v>
      </c>
    </row>
    <row r="31" spans="1:9" s="25" customFormat="1" ht="30">
      <c r="B31" s="25" t="s">
        <v>11</v>
      </c>
      <c r="C31" s="26" t="s">
        <v>85</v>
      </c>
      <c r="D31" s="25" t="s">
        <v>11</v>
      </c>
      <c r="E31" s="25" t="str">
        <f>IF(D30="Yes","Yes","NA")</f>
        <v>NA</v>
      </c>
      <c r="H31" s="25" t="s">
        <v>28</v>
      </c>
      <c r="I31" s="25" t="s">
        <v>16</v>
      </c>
    </row>
    <row r="32" spans="1:9" s="25" customFormat="1" ht="30">
      <c r="B32" s="25" t="s">
        <v>11</v>
      </c>
      <c r="C32" s="26" t="s">
        <v>86</v>
      </c>
      <c r="D32" s="25" t="s">
        <v>14</v>
      </c>
      <c r="E32" s="25" t="s">
        <v>14</v>
      </c>
      <c r="H32" s="25" t="s">
        <v>28</v>
      </c>
      <c r="I32" s="25" t="s">
        <v>16</v>
      </c>
    </row>
    <row r="33" spans="2:9" s="25" customFormat="1" ht="30">
      <c r="B33" s="25" t="s">
        <v>11</v>
      </c>
      <c r="C33" s="26" t="s">
        <v>87</v>
      </c>
      <c r="D33" s="25" t="s">
        <v>16</v>
      </c>
      <c r="E33" s="25" t="s">
        <v>14</v>
      </c>
      <c r="H33" s="25" t="s">
        <v>28</v>
      </c>
      <c r="I33" s="25" t="s">
        <v>16</v>
      </c>
    </row>
    <row r="34" spans="2:9" s="25" customFormat="1" ht="30">
      <c r="B34" s="25" t="s">
        <v>11</v>
      </c>
      <c r="C34" s="26" t="s">
        <v>88</v>
      </c>
      <c r="D34" s="25" t="s">
        <v>14</v>
      </c>
      <c r="E34" s="25" t="s">
        <v>14</v>
      </c>
      <c r="F34" s="25" t="str">
        <f>IF(D34="Yes",'Help Text Notes'!A10)</f>
        <v>Help Text: For project activities that seek to retrofit or modify an existing facility for the purpose of fuel switch from fossil fuels to biomass in heat generation equipment, the baseline emissions shall be calculated as per equation 3.</v>
      </c>
      <c r="H34" s="25" t="s">
        <v>28</v>
      </c>
      <c r="I34" s="25" t="s">
        <v>16</v>
      </c>
    </row>
    <row r="35" spans="2:9" s="25" customFormat="1" ht="30">
      <c r="B35" s="25" t="s">
        <v>11</v>
      </c>
      <c r="C35" s="26" t="s">
        <v>89</v>
      </c>
      <c r="D35" s="25" t="s">
        <v>16</v>
      </c>
      <c r="E35" s="25" t="s">
        <v>14</v>
      </c>
      <c r="H35" s="25" t="s">
        <v>28</v>
      </c>
      <c r="I35" s="25" t="s">
        <v>16</v>
      </c>
    </row>
    <row r="36" spans="2:9" ht="30">
      <c r="B36" t="s">
        <v>11</v>
      </c>
      <c r="C36" s="1" t="s">
        <v>90</v>
      </c>
      <c r="D36">
        <v>15</v>
      </c>
      <c r="E36" t="s">
        <v>14</v>
      </c>
      <c r="F36" t="str">
        <f>'Help Text Notes'!A11</f>
        <v>Help Text: Thermal energy generation capacity shall be manufacturer’s rated thermal energy output, or if that rating is not available the capacity shall be determined by taking the difference between enthalpy of total output (for example steam or hot air or chilled water in kcal/kg or kcal/m3 ) leaving the project equipment and the total enthalpy of input (for example feed water or air in kcal/kg or kcal/m3 ) entering the project equipment. For boilers, condensate return (if any) must be incorporated into enthalpy of the feed. 
A conversion factor of 1:3 shall be used for converting electrical energy to thermal energy. 
For co-fired systems, use the total installed thermal energy generation capacity of the project equipment, when using both fossil and renewable fuel.
For biomass cogeneration and trigeneration units, if the emission reductions of the project activity are on account of thermal and electrical energy production, use the total installed thermal and electrical energy generation capacity of the project equipment.
For biomass cogeneration and trigeneration units, if the emission reductions of the project activity are solely on account of electrical energy production (i.e. no emission reductions accrue from the thermal energy component), the total installed electrical energy generation capacity of the project equipment shall be converted to thermal energy based on a 1:3 ratio (i.e., electrical capacity multiplied by 3). 
Project activities that involve the addition of renewable energy units at an existing renewable energy facility, the total capacity of the units added by the project shall comply with capacity limits specified above, and shall be physically distinct from the existing units.</v>
      </c>
      <c r="H36" t="s">
        <v>91</v>
      </c>
      <c r="I36" t="s">
        <v>16</v>
      </c>
    </row>
    <row r="37" spans="2:9" s="25" customFormat="1">
      <c r="B37" s="25" t="s">
        <v>11</v>
      </c>
      <c r="C37" s="26" t="s">
        <v>92</v>
      </c>
      <c r="D37" s="25" t="s">
        <v>14</v>
      </c>
      <c r="E37" s="25" t="s">
        <v>14</v>
      </c>
      <c r="H37" s="25" t="s">
        <v>28</v>
      </c>
      <c r="I37" s="25" t="s">
        <v>16</v>
      </c>
    </row>
    <row r="38" spans="2:9" s="25" customFormat="1">
      <c r="B38" s="25" t="s">
        <v>11</v>
      </c>
      <c r="C38" s="26" t="s">
        <v>93</v>
      </c>
      <c r="D38" s="25" t="s">
        <v>16</v>
      </c>
      <c r="E38" s="25" t="str">
        <f>IF(D37="Yes","Yes","NA")</f>
        <v>Yes</v>
      </c>
      <c r="H38" s="25" t="s">
        <v>28</v>
      </c>
      <c r="I38" s="25" t="s">
        <v>16</v>
      </c>
    </row>
    <row r="39" spans="2:9" s="25" customFormat="1" ht="30">
      <c r="B39" s="25" t="s">
        <v>11</v>
      </c>
      <c r="C39" s="26" t="s">
        <v>94</v>
      </c>
      <c r="D39" s="25" t="s">
        <v>16</v>
      </c>
      <c r="E39" s="25" t="s">
        <v>14</v>
      </c>
      <c r="H39" s="25" t="s">
        <v>28</v>
      </c>
      <c r="I39" s="25" t="s">
        <v>16</v>
      </c>
    </row>
    <row r="40" spans="2:9" s="25" customFormat="1" ht="45">
      <c r="B40" s="25" t="s">
        <v>11</v>
      </c>
      <c r="C40" s="26" t="s">
        <v>95</v>
      </c>
      <c r="D40" s="25" t="s">
        <v>16</v>
      </c>
      <c r="E40" s="25" t="s">
        <v>14</v>
      </c>
      <c r="H40" s="25" t="s">
        <v>28</v>
      </c>
      <c r="I40" s="25" t="s">
        <v>16</v>
      </c>
    </row>
    <row r="41" spans="2:9" s="25" customFormat="1" ht="30">
      <c r="B41" s="25" t="s">
        <v>11</v>
      </c>
      <c r="C41" s="26" t="s">
        <v>96</v>
      </c>
      <c r="D41" s="25" t="s">
        <v>11</v>
      </c>
      <c r="E41" s="25" t="s">
        <v>14</v>
      </c>
      <c r="H41" s="25" t="s">
        <v>28</v>
      </c>
      <c r="I41" s="25" t="s">
        <v>16</v>
      </c>
    </row>
    <row r="42" spans="2:9" s="25" customFormat="1">
      <c r="B42" s="25" t="s">
        <v>11</v>
      </c>
      <c r="C42" s="26" t="s">
        <v>97</v>
      </c>
      <c r="D42" s="25" t="s">
        <v>16</v>
      </c>
      <c r="E42" s="25" t="s">
        <v>14</v>
      </c>
      <c r="H42" s="25" t="s">
        <v>28</v>
      </c>
      <c r="I42" s="25" t="s">
        <v>16</v>
      </c>
    </row>
    <row r="43" spans="2:9" s="25" customFormat="1">
      <c r="B43" s="25" t="s">
        <v>11</v>
      </c>
      <c r="C43" s="26" t="s">
        <v>98</v>
      </c>
      <c r="D43" s="25" t="s">
        <v>11</v>
      </c>
      <c r="E43" s="25" t="str">
        <f>IF(D42="Yes","Yes","NA")</f>
        <v>NA</v>
      </c>
      <c r="H43" s="25" t="s">
        <v>28</v>
      </c>
      <c r="I43" s="25" t="s">
        <v>16</v>
      </c>
    </row>
    <row r="44" spans="2:9" s="25" customFormat="1" ht="30">
      <c r="B44" s="25" t="s">
        <v>11</v>
      </c>
      <c r="C44" s="26" t="s">
        <v>99</v>
      </c>
      <c r="D44" s="25" t="s">
        <v>11</v>
      </c>
      <c r="E44" s="25" t="str">
        <f>IF(D42="Yes","Yes","NA")</f>
        <v>NA</v>
      </c>
      <c r="H44" s="25" t="s">
        <v>28</v>
      </c>
      <c r="I44" s="25" t="s">
        <v>16</v>
      </c>
    </row>
    <row r="45" spans="2:9" s="25" customFormat="1" ht="15.75" thickBot="1">
      <c r="B45" s="25" t="s">
        <v>11</v>
      </c>
      <c r="C45" s="26" t="s">
        <v>100</v>
      </c>
      <c r="D45" s="25" t="s">
        <v>14</v>
      </c>
      <c r="E45" s="25" t="s">
        <v>14</v>
      </c>
      <c r="H45" s="25" t="s">
        <v>28</v>
      </c>
      <c r="I45" s="25" t="s">
        <v>16</v>
      </c>
    </row>
    <row r="46" spans="2:9" s="4" customFormat="1" ht="16.5" thickTop="1" thickBot="1">
      <c r="B46" s="4" t="s">
        <v>11</v>
      </c>
      <c r="C46" s="3" t="s">
        <v>101</v>
      </c>
      <c r="D46" s="76" t="str">
        <f>(IF(OR(D29="No",D29="NA"),"NA",IF(AND(D30="No",D32="No",D35="No"),"NA",IF(D36&gt;45,"NA",IF(D41="No","Na",IF(D43="No","Na","Applicable"))))))</f>
        <v>Applicable</v>
      </c>
      <c r="E46" s="4" t="s">
        <v>14</v>
      </c>
      <c r="H46" s="4" t="s">
        <v>102</v>
      </c>
      <c r="I46" s="4" t="s">
        <v>16</v>
      </c>
    </row>
    <row r="47" spans="2:9" s="4" customFormat="1" ht="16.5" thickTop="1" thickBot="1">
      <c r="B47" s="4" t="s">
        <v>11</v>
      </c>
      <c r="C47" s="3" t="s">
        <v>103</v>
      </c>
      <c r="D47" s="76" t="str">
        <f>IF(D7="Micro",'Tool 19'!B29,IF(D7="Small","See Tool 21"))</f>
        <v>See Tool 21</v>
      </c>
      <c r="E47" s="4" t="s">
        <v>14</v>
      </c>
      <c r="H47" s="4" t="s">
        <v>102</v>
      </c>
      <c r="I47" s="4" t="s">
        <v>16</v>
      </c>
    </row>
    <row r="48" spans="2:9" s="2" customFormat="1" ht="15.75" thickTop="1">
      <c r="B48" s="185" t="s">
        <v>104</v>
      </c>
      <c r="C48" s="186"/>
      <c r="D48" s="186"/>
      <c r="E48" s="186"/>
      <c r="F48" s="74"/>
      <c r="G48" s="74"/>
      <c r="H48" s="6"/>
    </row>
    <row r="49" spans="2:9" ht="24" customHeight="1">
      <c r="B49" s="184" t="b">
        <f>IF(D35="Yes",'Help Text Notes'!A12)</f>
        <v>0</v>
      </c>
      <c r="C49" s="184"/>
      <c r="D49" s="184"/>
      <c r="E49" s="184"/>
      <c r="H49" s="1" t="s">
        <v>11</v>
      </c>
      <c r="I49" s="2" t="s">
        <v>11</v>
      </c>
    </row>
    <row r="50" spans="2:9" ht="26.45" customHeight="1">
      <c r="B50" s="184" t="str">
        <f>IF(D37="Yes",'Help Text Notes'!A13)</f>
        <v>It shall be demonstrated that biomass has been produced using solely renewable biomass and all project or leakage emissions associated with its production shall be taken into account in the emissions reduction calculation.</v>
      </c>
      <c r="C50" s="184"/>
      <c r="D50" s="184"/>
      <c r="E50" s="184"/>
      <c r="H50" s="1" t="s">
        <v>11</v>
      </c>
      <c r="I50" s="2" t="s">
        <v>11</v>
      </c>
    </row>
    <row r="51" spans="2:9" ht="25.15" customHeight="1">
      <c r="B51" s="184" t="b">
        <f>IF(D38="Yes",'Help Text Notes'!A14)</f>
        <v>0</v>
      </c>
      <c r="C51" s="184"/>
      <c r="D51" s="184"/>
      <c r="E51" s="184"/>
      <c r="H51" s="1" t="s">
        <v>11</v>
      </c>
      <c r="I51" s="2" t="s">
        <v>11</v>
      </c>
    </row>
    <row r="52" spans="2:9" ht="24" customHeight="1">
      <c r="B52" s="184" t="b">
        <f>IF(D39="Yes",'Help Text Notes'!A15)</f>
        <v>0</v>
      </c>
      <c r="C52" s="184"/>
      <c r="D52" s="184"/>
      <c r="E52" s="184"/>
      <c r="H52" s="1" t="s">
        <v>11</v>
      </c>
      <c r="I52" s="2" t="s">
        <v>11</v>
      </c>
    </row>
    <row r="53" spans="2:9" ht="24.6" customHeight="1">
      <c r="B53" s="184" t="b">
        <f>IF(D40="Yes",'Help Text Notes'!A16)</f>
        <v>0</v>
      </c>
      <c r="C53" s="184"/>
      <c r="D53" s="184"/>
      <c r="E53" s="184"/>
      <c r="H53" s="1" t="s">
        <v>11</v>
      </c>
      <c r="I53" s="2" t="s">
        <v>11</v>
      </c>
    </row>
    <row r="54" spans="2:9" ht="22.15" customHeight="1">
      <c r="B54" s="184" t="b">
        <f>IF(D44="No",'Help Text Notes'!A17)</f>
        <v>0</v>
      </c>
      <c r="C54" s="184"/>
      <c r="D54" s="184"/>
      <c r="E54" s="184"/>
      <c r="H54" s="1" t="s">
        <v>11</v>
      </c>
      <c r="I54" s="2" t="s">
        <v>11</v>
      </c>
    </row>
    <row r="55" spans="2:9" ht="32.450000000000003" customHeight="1">
      <c r="B55" s="184" t="str">
        <f>IF(D45="Yes",'Help Text Notes'!A18)</f>
        <v>The “TOOL16: Project and leakage emissions from biomass” shall be applied to determine the relevant project emissions from the cultivation of biomass and the utilization of biomass or biomass residues.</v>
      </c>
      <c r="C55" s="184"/>
      <c r="D55" s="184"/>
      <c r="E55" s="184"/>
      <c r="H55" s="1" t="s">
        <v>11</v>
      </c>
      <c r="I55" s="2" t="s">
        <v>11</v>
      </c>
    </row>
    <row r="56" spans="2:9" s="10" customFormat="1" ht="18.75">
      <c r="C56" s="9" t="s">
        <v>105</v>
      </c>
    </row>
    <row r="57" spans="2:9" s="25" customFormat="1">
      <c r="B57" s="25" t="s">
        <v>11</v>
      </c>
      <c r="C57" s="26" t="s">
        <v>106</v>
      </c>
      <c r="D57" s="25" t="s">
        <v>14</v>
      </c>
      <c r="E57" s="25" t="s">
        <v>14</v>
      </c>
      <c r="H57" s="25" t="s">
        <v>28</v>
      </c>
      <c r="I57" s="25" t="s">
        <v>16</v>
      </c>
    </row>
    <row r="58" spans="2:9" s="25" customFormat="1" ht="104.45" customHeight="1">
      <c r="B58" s="25" t="s">
        <v>11</v>
      </c>
      <c r="C58" s="26" t="s">
        <v>107</v>
      </c>
      <c r="D58" s="25" t="s">
        <v>108</v>
      </c>
      <c r="E58" s="25" t="str">
        <f>IF(D57="Yes","Yes","NA")</f>
        <v>Yes</v>
      </c>
      <c r="F58" s="25" t="str">
        <f>'Help Text Notes'!A19</f>
        <v xml:space="preserve">Help Text: Scenario (g) applies to a project activity that installs a new grid connected biomass cogeneration or trigeneration system that produces surplus electricity and this surplus electricity is exported to a grid.
Scenario (i) applies to a project activity that installs a new biomass cogeneration or trigeneration system that displaces electricity which otherwise would have been imported from a grid.
</v>
      </c>
      <c r="H58" s="25" t="s">
        <v>28</v>
      </c>
      <c r="I58" s="25" t="s">
        <v>16</v>
      </c>
    </row>
    <row r="59" spans="2:9" s="25" customFormat="1">
      <c r="B59" s="25" t="s">
        <v>11</v>
      </c>
      <c r="C59" s="26" t="s">
        <v>109</v>
      </c>
      <c r="D59" s="25" t="s">
        <v>14</v>
      </c>
      <c r="H59" s="25" t="s">
        <v>28</v>
      </c>
      <c r="I59" s="25" t="s">
        <v>16</v>
      </c>
    </row>
    <row r="60" spans="2:9" s="25" customFormat="1" ht="30">
      <c r="B60" s="25" t="s">
        <v>11</v>
      </c>
      <c r="C60" s="26" t="s">
        <v>110</v>
      </c>
      <c r="D60" s="25" t="s">
        <v>16</v>
      </c>
      <c r="E60" s="25" t="str">
        <f>IF(D59="Yes","Yes","NA")</f>
        <v>Yes</v>
      </c>
      <c r="H60" s="25" t="s">
        <v>28</v>
      </c>
      <c r="I60" s="25" t="s">
        <v>16</v>
      </c>
    </row>
    <row r="61" spans="2:9" s="25" customFormat="1" ht="45">
      <c r="B61" s="25" t="s">
        <v>11</v>
      </c>
      <c r="C61" s="26" t="s">
        <v>111</v>
      </c>
      <c r="D61" s="25" t="s">
        <v>16</v>
      </c>
      <c r="E61" s="25" t="s">
        <v>14</v>
      </c>
      <c r="H61" s="25" t="s">
        <v>28</v>
      </c>
      <c r="I61" s="25" t="s">
        <v>16</v>
      </c>
    </row>
    <row r="62" spans="2:9" s="25" customFormat="1" ht="45">
      <c r="B62" s="25" t="s">
        <v>11</v>
      </c>
      <c r="C62" s="26" t="s">
        <v>112</v>
      </c>
      <c r="D62" s="25" t="s">
        <v>16</v>
      </c>
      <c r="E62" s="25" t="s">
        <v>14</v>
      </c>
      <c r="H62" s="25" t="s">
        <v>28</v>
      </c>
      <c r="I62" s="25" t="s">
        <v>16</v>
      </c>
    </row>
    <row r="63" spans="2:9" s="25" customFormat="1">
      <c r="B63" s="25" t="s">
        <v>11</v>
      </c>
      <c r="C63" s="26" t="s">
        <v>113</v>
      </c>
      <c r="D63" s="25" t="s">
        <v>14</v>
      </c>
      <c r="E63" s="25" t="s">
        <v>14</v>
      </c>
      <c r="H63" s="25" t="s">
        <v>28</v>
      </c>
      <c r="I63" s="25" t="s">
        <v>16</v>
      </c>
    </row>
    <row r="64" spans="2:9" s="13" customFormat="1">
      <c r="C64" s="12" t="s">
        <v>114</v>
      </c>
      <c r="E64" s="13" t="str">
        <f>IF(OR(D58='AMS I.C. MF Dropdown Items'!C3,D58='AMS I.C. MF Dropdown Items'!C4,D58='AMS I.C. MF Dropdown Items'!C6),"Yes","NA")</f>
        <v>Yes</v>
      </c>
    </row>
    <row r="65" spans="2:9">
      <c r="B65" t="s">
        <v>115</v>
      </c>
      <c r="C65" s="1" t="s">
        <v>116</v>
      </c>
      <c r="D65">
        <v>122</v>
      </c>
      <c r="E65" t="str">
        <f>IF(OR(D58='AMS I.C. MF Dropdown Items'!C3,D58='AMS I.C. MF Dropdown Items'!C4,D58='AMS I.C. MF Dropdown Items'!C6),"Yes","NA")</f>
        <v>Yes</v>
      </c>
      <c r="H65" t="s">
        <v>91</v>
      </c>
      <c r="I65" t="s">
        <v>16</v>
      </c>
    </row>
    <row r="66" spans="2:9" ht="30">
      <c r="B66" t="s">
        <v>117</v>
      </c>
      <c r="C66" s="1" t="s">
        <v>118</v>
      </c>
      <c r="D66">
        <v>0.77</v>
      </c>
      <c r="E66" t="str">
        <f>IF(OR(D58='AMS I.C. MF Dropdown Items'!C3,D58='AMS I.C. MF Dropdown Items'!C4,D58='AMS I.C. MF Dropdown Items'!C6),"Yes","NA")</f>
        <v>Yes</v>
      </c>
      <c r="F66"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G66" t="s">
        <v>119</v>
      </c>
      <c r="H66" t="s">
        <v>91</v>
      </c>
      <c r="I66" t="s">
        <v>16</v>
      </c>
    </row>
    <row r="67" spans="2:9" ht="30">
      <c r="B67" t="s">
        <v>120</v>
      </c>
      <c r="C67" s="1" t="s">
        <v>121</v>
      </c>
      <c r="D67" s="22">
        <f>IF(AND(D59="Yes",D60="No",D62="No"),'Tool 09'!C26,"User Input, See Help Text")</f>
        <v>0.85</v>
      </c>
      <c r="E67" t="str">
        <f>IF(OR(D58='AMS I.C. MF Dropdown Items'!C3,D58='AMS I.C. MF Dropdown Items'!C4,D58='AMS I.C. MF Dropdown Items'!C6),"Yes","NA")</f>
        <v>Yes</v>
      </c>
      <c r="F67" t="str">
        <f>IF(AND(D59="Yes",D60="Yes",D30="Yes"),'Help Text Notes'!A2,IF(AND(D30="Yes",D35="Yes",D61="Yes"),'Help Text Notes'!A3,IF(D30="No",'Help Text Notes'!A4,IF(D62="Yes",'Help Text Notes'!A5))))</f>
        <v>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v>
      </c>
      <c r="G67" t="s">
        <v>122</v>
      </c>
      <c r="H67" t="str">
        <f>IF(D67="User Input, See Help Text","Number","Referenced Parameter")</f>
        <v>Referenced Parameter</v>
      </c>
      <c r="I67" t="s">
        <v>16</v>
      </c>
    </row>
    <row r="68" spans="2:9" ht="28.9" customHeight="1">
      <c r="B68" t="s">
        <v>123</v>
      </c>
      <c r="C68" s="1" t="s">
        <v>124</v>
      </c>
      <c r="D68" s="22">
        <f>(D65/D67)*D66</f>
        <v>110.51764705882353</v>
      </c>
      <c r="E68" t="str">
        <f>IF(OR(D58='AMS I.C. MF Dropdown Items'!C3,D58='AMS I.C. MF Dropdown Items'!C4,D58='AMS I.C. MF Dropdown Items'!C6),"Yes","NA")</f>
        <v>Yes</v>
      </c>
      <c r="H68" t="s">
        <v>102</v>
      </c>
      <c r="I68" t="s">
        <v>16</v>
      </c>
    </row>
    <row r="69" spans="2:9" s="13" customFormat="1" ht="30">
      <c r="C69" s="12" t="s">
        <v>125</v>
      </c>
      <c r="E69" s="13" t="str">
        <f>IF(OR(D58='AMS I.C. MF Dropdown Items'!C2,D58='AMS I.C. MF Dropdown Items'!C4,D58='AMS I.C. MF Dropdown Items'!C6,D58='AMS I.C. MF Dropdown Items'!C8,D58='AMS I.C. MF Dropdown Items'!C10),"Yes","NA")</f>
        <v>Yes</v>
      </c>
    </row>
    <row r="70" spans="2:9">
      <c r="B70" t="s">
        <v>126</v>
      </c>
      <c r="C70" s="1" t="s">
        <v>127</v>
      </c>
      <c r="D70">
        <v>142</v>
      </c>
      <c r="E70" t="str">
        <f>IF(OR(D58='AMS I.C. MF Dropdown Items'!C2,D58='AMS I.C. MF Dropdown Items'!C4,D58='AMS I.C. MF Dropdown Items'!C6,D58='AMS I.C. MF Dropdown Items'!C8,D58='AMS I.C. MF Dropdown Items'!C10),"Yes","NA")</f>
        <v>Yes</v>
      </c>
      <c r="H70" t="s">
        <v>91</v>
      </c>
      <c r="I70" t="s">
        <v>16</v>
      </c>
    </row>
    <row r="71" spans="2:9">
      <c r="B71" t="s">
        <v>128</v>
      </c>
      <c r="C71" s="1" t="s">
        <v>129</v>
      </c>
      <c r="D71">
        <v>1.1658999999999999</v>
      </c>
      <c r="E71" t="str">
        <f>IF(OR(D58='AMS I.C. MF Dropdown Items'!C2,D58='AMS I.C. MF Dropdown Items'!C4,D58='AMS I.C. MF Dropdown Items'!C6,D58='AMS I.C. MF Dropdown Items'!C8,D58='AMS I.C. MF Dropdown Items'!C10),"Yes","NA")</f>
        <v>Yes</v>
      </c>
      <c r="F71" t="str">
        <f>'Help Text Notes'!A20</f>
        <v xml:space="preserve">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The emission factor of the grid shall be calculated as per the procedures detailed in AMS-I.D. or AMS-I.F. 
For new facilities, the most conservative (lowest) emission factor of the two power sources (captive power plant and grid) should be used. </v>
      </c>
      <c r="H71" t="s">
        <v>91</v>
      </c>
      <c r="I71" t="s">
        <v>16</v>
      </c>
    </row>
    <row r="72" spans="2:9" ht="28.9" customHeight="1">
      <c r="B72" t="s">
        <v>130</v>
      </c>
      <c r="C72" s="1" t="s">
        <v>131</v>
      </c>
      <c r="D72" s="22">
        <f>D70*D71</f>
        <v>165.55779999999999</v>
      </c>
      <c r="E72" t="str">
        <f>IF(OR(D58='AMS I.C. MF Dropdown Items'!C2,D58='AMS I.C. MF Dropdown Items'!C4,D58='AMS I.C. MF Dropdown Items'!C6,D58='AMS I.C. MF Dropdown Items'!C8,D58='AMS I.C. MF Dropdown Items'!C10),"Yes","NA")</f>
        <v>Yes</v>
      </c>
      <c r="H72" t="s">
        <v>102</v>
      </c>
      <c r="I72" t="s">
        <v>16</v>
      </c>
    </row>
    <row r="73" spans="2:9" s="13" customFormat="1">
      <c r="C73" s="12" t="s">
        <v>132</v>
      </c>
      <c r="E73" s="13" t="str">
        <f>IF(OR(D58='AMS I.C. MF Dropdown Items'!C2,D58='AMS I.C. MF Dropdown Items'!C3,D58='AMS I.C. MF Dropdown Items'!C4,D58='AMS I.C. MF Dropdown Items'!C7),"Yes","NA")</f>
        <v>Yes</v>
      </c>
    </row>
    <row r="74" spans="2:9">
      <c r="B74" t="s">
        <v>133</v>
      </c>
      <c r="C74" s="1" t="s">
        <v>134</v>
      </c>
      <c r="D74">
        <v>12</v>
      </c>
      <c r="E74" t="str">
        <f>IF(OR(D58='AMS I.C. MF Dropdown Items'!C2,D58='AMS I.C. MF Dropdown Items'!C3,D58='AMS I.C. MF Dropdown Items'!C4,D58='AMS I.C. MF Dropdown Items'!C7),"Yes","NA")</f>
        <v>Yes</v>
      </c>
      <c r="H74" t="s">
        <v>91</v>
      </c>
      <c r="I74" t="s">
        <v>16</v>
      </c>
    </row>
    <row r="75" spans="2:9" ht="45">
      <c r="B75" t="s">
        <v>135</v>
      </c>
      <c r="C75" s="1" t="s">
        <v>136</v>
      </c>
      <c r="D75">
        <v>56.1</v>
      </c>
      <c r="E75" t="str">
        <f>IF(OR(D58='AMS I.C. MF Dropdown Items'!C2,D58='AMS I.C. MF Dropdown Items'!C3,D58='AMS I.C. MF Dropdown Items'!C4,D58='AMS I.C. MF Dropdown Items'!C7),"Yes","NA")</f>
        <v>Yes</v>
      </c>
      <c r="F75"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H75" t="s">
        <v>91</v>
      </c>
      <c r="I75" t="s">
        <v>16</v>
      </c>
    </row>
    <row r="76" spans="2:9" ht="30">
      <c r="B76" t="s">
        <v>137</v>
      </c>
      <c r="C76" s="1" t="s">
        <v>138</v>
      </c>
      <c r="D76" s="22">
        <f>IF(AND(D59="Yes",D60="No"),'Tool 09'!C26,"User Input, See Help Text")</f>
        <v>0.85</v>
      </c>
      <c r="E76" t="str">
        <f>IF(OR(D58='AMS I.C. MF Dropdown Items'!C2,D58='AMS I.C. MF Dropdown Items'!C3,D58='AMS I.C. MF Dropdown Items'!C4,D58='AMS I.C. MF Dropdown Items'!C7),"Yes","NA")</f>
        <v>Yes</v>
      </c>
      <c r="F76" t="str">
        <f>IF(AND(D59="Yes",D60="Yes",D30="Yes"),'Help Text Notes'!A2,IF(AND(D30="Yes",D35="Yes",D61="Yes"),'Help Text Notes'!A3,IF(D30="No",'Help Text Notes'!A4,IF(D62="Yes",'Help Text Notes'!A5))))</f>
        <v>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v>
      </c>
      <c r="G76" t="s">
        <v>139</v>
      </c>
      <c r="H76" t="str">
        <f>IF(D67="User Input, See Help Text","Number","Referenced Parameter")</f>
        <v>Referenced Parameter</v>
      </c>
      <c r="I76" t="s">
        <v>16</v>
      </c>
    </row>
    <row r="77" spans="2:9" ht="30.6" customHeight="1">
      <c r="B77" t="s">
        <v>140</v>
      </c>
      <c r="C77" s="1" t="s">
        <v>141</v>
      </c>
      <c r="D77" s="22">
        <f>(D74/D76)*D75</f>
        <v>792</v>
      </c>
      <c r="E77" t="str">
        <f>IF(OR(D58='AMS I.C. MF Dropdown Items'!C2,D58='AMS I.C. MF Dropdown Items'!C3,D58='AMS I.C. MF Dropdown Items'!C4,D58='AMS I.C. MF Dropdown Items'!C7),"Yes","NA")</f>
        <v>Yes</v>
      </c>
      <c r="H77" t="s">
        <v>102</v>
      </c>
      <c r="I77" t="s">
        <v>16</v>
      </c>
    </row>
    <row r="78" spans="2:9" s="13" customFormat="1" ht="30">
      <c r="C78" s="12" t="s">
        <v>142</v>
      </c>
      <c r="E78" s="13" t="str">
        <f>IF(D58='AMS I.C. MF Dropdown Items'!C5,"Yes","NA")</f>
        <v>NA</v>
      </c>
    </row>
    <row r="79" spans="2:9">
      <c r="B79" t="s">
        <v>143</v>
      </c>
      <c r="C79" s="1" t="s">
        <v>144</v>
      </c>
      <c r="D79">
        <v>0.6</v>
      </c>
      <c r="E79" t="str">
        <f>IF(D58='AMS I.C. MF Dropdown Items'!C5,"Yes","NA")</f>
        <v>NA</v>
      </c>
      <c r="H79" t="s">
        <v>91</v>
      </c>
      <c r="I79" t="s">
        <v>16</v>
      </c>
    </row>
    <row r="80" spans="2:9">
      <c r="B80" t="s">
        <v>145</v>
      </c>
      <c r="C80" s="1" t="s">
        <v>134</v>
      </c>
      <c r="D80">
        <v>6.6</v>
      </c>
      <c r="E80" t="str">
        <f>IF(D58='AMS I.C. MF Dropdown Items'!C5,"Yes","NA")</f>
        <v>NA</v>
      </c>
      <c r="H80" t="s">
        <v>91</v>
      </c>
      <c r="I80" t="s">
        <v>16</v>
      </c>
    </row>
    <row r="81" spans="2:9" ht="45">
      <c r="B81" t="s">
        <v>135</v>
      </c>
      <c r="C81" s="1" t="s">
        <v>146</v>
      </c>
      <c r="D81">
        <v>41.866</v>
      </c>
      <c r="E81" t="str">
        <f>IF(D58='AMS I.C. MF Dropdown Items'!C5,"Yes","NA")</f>
        <v>NA</v>
      </c>
      <c r="F81"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H81" t="s">
        <v>91</v>
      </c>
      <c r="I81" t="s">
        <v>16</v>
      </c>
    </row>
    <row r="82" spans="2:9" ht="30">
      <c r="B82" t="s">
        <v>147</v>
      </c>
      <c r="C82" s="1" t="s">
        <v>148</v>
      </c>
      <c r="D82" s="22">
        <f>IF(AND(D59="Yes",D60="No"),'Tool 09'!C26,"User Input, See Help Text")</f>
        <v>0.85</v>
      </c>
      <c r="E82" t="str">
        <f>IF(D58='AMS I.C. MF Dropdown Items'!C5,"Yes","NA")</f>
        <v>NA</v>
      </c>
      <c r="F82" t="str">
        <f>IF(AND(D59="Yes",D60="Yes",D30="Yes"),'Help Text Notes'!A2,IF(AND(D30="Yes",D35="Yes",D61="Yes"),'Help Text Notes'!A3,IF(D30="No",'Help Text Notes'!A4,IF(D62="Yes",'Help Text Notes'!A5))))</f>
        <v>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v>
      </c>
      <c r="G82" t="s">
        <v>122</v>
      </c>
      <c r="H82" t="str">
        <f>IF(D67="User Input, See Help Text","Number","Referenced Parameter")</f>
        <v>Referenced Parameter</v>
      </c>
      <c r="I82" t="s">
        <v>16</v>
      </c>
    </row>
    <row r="83" spans="2:9" ht="30" customHeight="1">
      <c r="B83" t="s">
        <v>149</v>
      </c>
      <c r="C83" s="1" t="s">
        <v>150</v>
      </c>
      <c r="D83" s="22">
        <f>((D80+D79*3.6)/D82)*D81</f>
        <v>431.46607058823531</v>
      </c>
      <c r="E83" t="str">
        <f>IF(D58='AMS I.C. MF Dropdown Items'!C5,"Yes","NA")</f>
        <v>NA</v>
      </c>
      <c r="H83" t="s">
        <v>102</v>
      </c>
      <c r="I83" t="s">
        <v>16</v>
      </c>
    </row>
    <row r="84" spans="2:9" s="13" customFormat="1">
      <c r="C84" s="12" t="s">
        <v>151</v>
      </c>
      <c r="E84" s="13" t="str">
        <f>IF(D58='AMS I.C. MF Dropdown Items'!C9,"Yes","NA")</f>
        <v>NA</v>
      </c>
    </row>
    <row r="85" spans="2:9" ht="30">
      <c r="B85" t="s">
        <v>152</v>
      </c>
      <c r="C85" s="1" t="s">
        <v>153</v>
      </c>
      <c r="D85">
        <v>47</v>
      </c>
      <c r="E85" t="str">
        <f>IF(D58='AMS I.C. MF Dropdown Items'!C9,"Yes","NA")</f>
        <v>NA</v>
      </c>
      <c r="H85" t="s">
        <v>91</v>
      </c>
      <c r="I85" t="s">
        <v>16</v>
      </c>
    </row>
    <row r="86" spans="2:9" ht="30">
      <c r="B86" t="s">
        <v>154</v>
      </c>
      <c r="C86" s="1" t="s">
        <v>155</v>
      </c>
      <c r="D86">
        <v>33</v>
      </c>
      <c r="E86" t="str">
        <f>IF(D58='AMS I.C. MF Dropdown Items'!C9,"Yes","NA")</f>
        <v>NA</v>
      </c>
      <c r="F86" t="str">
        <f>'Help Text Notes'!A21</f>
        <v>Help Text: Baseline emissions shall be determined based on three years’ average historical data on the relative share of fossil fuel and biomass in the baseline fuel mix. The relative share is determined based on the energy content of each fuel.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new facilities, the most conservative (lowest) emission factor of the two power sources (captive power plant and grid) should be used. 
In the case where more than one fossil fuel is used by the co-fired plant, the weighted average emission factor (in energy basis) among the identified fossil fuels shall be used.</v>
      </c>
      <c r="H86" t="s">
        <v>91</v>
      </c>
      <c r="I86" t="s">
        <v>16</v>
      </c>
    </row>
    <row r="87" spans="2:9" ht="30">
      <c r="B87" t="s">
        <v>156</v>
      </c>
      <c r="C87" s="1" t="s">
        <v>157</v>
      </c>
      <c r="D87" s="22">
        <f>IF(AND(D59="Yes",D60="No"),'Tool 09'!C26,"User Input, See Help Text")</f>
        <v>0.85</v>
      </c>
      <c r="E87" t="str">
        <f>IF(D58='AMS I.C. MF Dropdown Items'!C9,"Yes","NA")</f>
        <v>NA</v>
      </c>
      <c r="F87" t="str">
        <f>IF(AND(D59="Yes",D60="Yes",D30="Yes"),'Help Text Notes'!A2,IF(AND(D30="Yes",D35="Yes",D61="Yes"),'Help Text Notes'!A3,IF(D30="No",'Help Text Notes'!A4,IF(D62="Yes",'Help Text Notes'!A5))))</f>
        <v>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v>
      </c>
      <c r="G87" t="s">
        <v>139</v>
      </c>
      <c r="H87" t="str">
        <f>IF(D87="User Input, See Help Text","Number","Referenced Parameter")</f>
        <v>Referenced Parameter</v>
      </c>
      <c r="I87" t="s">
        <v>16</v>
      </c>
    </row>
    <row r="88" spans="2:9" ht="30">
      <c r="B88" t="s">
        <v>158</v>
      </c>
      <c r="C88" s="1" t="s">
        <v>159</v>
      </c>
      <c r="D88" s="22">
        <f>(D85/D87)*D86</f>
        <v>1824.7058823529412</v>
      </c>
      <c r="E88" t="str">
        <f>IF(D58='AMS I.C. MF Dropdown Items'!C9,"Yes","NA")</f>
        <v>NA</v>
      </c>
      <c r="H88" t="s">
        <v>102</v>
      </c>
      <c r="I88" t="s">
        <v>16</v>
      </c>
    </row>
    <row r="89" spans="2:9" s="13" customFormat="1">
      <c r="C89" s="12" t="s">
        <v>160</v>
      </c>
      <c r="E89" s="13" t="str">
        <f>IF(D58='AMS I.C. MF Dropdown Items'!C11,"Yes","NA")</f>
        <v>NA</v>
      </c>
    </row>
    <row r="90" spans="2:9">
      <c r="B90" t="s">
        <v>126</v>
      </c>
      <c r="C90" s="1" t="s">
        <v>127</v>
      </c>
      <c r="D90">
        <v>866</v>
      </c>
      <c r="E90" t="str">
        <f>IF(D58='AMS I.C. MF Dropdown Items'!C11,"Yes","NA")</f>
        <v>NA</v>
      </c>
      <c r="H90" t="s">
        <v>91</v>
      </c>
      <c r="I90" t="s">
        <v>16</v>
      </c>
    </row>
    <row r="91" spans="2:9">
      <c r="B91" t="s">
        <v>128</v>
      </c>
      <c r="C91" s="1" t="s">
        <v>129</v>
      </c>
      <c r="D91" s="167">
        <v>0.76</v>
      </c>
      <c r="E91" t="str">
        <f>IF(D58='AMS I.C. MF Dropdown Items'!C11,"Yes","NA")</f>
        <v>NA</v>
      </c>
      <c r="F91"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H91" t="s">
        <v>91</v>
      </c>
      <c r="I91" t="s">
        <v>16</v>
      </c>
    </row>
    <row r="92" spans="2:9" ht="28.9" customHeight="1">
      <c r="B92" t="s">
        <v>130</v>
      </c>
      <c r="C92" s="1" t="s">
        <v>161</v>
      </c>
      <c r="D92" s="22">
        <f>D90*D91</f>
        <v>658.16</v>
      </c>
      <c r="E92" t="str">
        <f>IF(D58='AMS I.C. MF Dropdown Items'!C11,"Yes","NA")</f>
        <v>NA</v>
      </c>
      <c r="H92" t="s">
        <v>102</v>
      </c>
      <c r="I92" t="s">
        <v>16</v>
      </c>
    </row>
    <row r="93" spans="2:9">
      <c r="B93" t="s">
        <v>115</v>
      </c>
      <c r="C93" s="1" t="s">
        <v>116</v>
      </c>
      <c r="D93">
        <v>732</v>
      </c>
      <c r="E93" t="str">
        <f>IF(D58='AMS I.C. MF Dropdown Items'!C11,"Yes","NA")</f>
        <v>NA</v>
      </c>
      <c r="H93" t="s">
        <v>91</v>
      </c>
      <c r="I93" t="s">
        <v>16</v>
      </c>
    </row>
    <row r="94" spans="2:9" ht="30">
      <c r="B94" t="s">
        <v>117</v>
      </c>
      <c r="C94" s="1" t="s">
        <v>118</v>
      </c>
      <c r="D94">
        <v>1.62</v>
      </c>
      <c r="E94" t="str">
        <f>IF(D58='AMS I.C. MF Dropdown Items'!C11,"Yes","NA")</f>
        <v>NA</v>
      </c>
      <c r="F94"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H94" t="s">
        <v>91</v>
      </c>
      <c r="I94" t="s">
        <v>16</v>
      </c>
    </row>
    <row r="95" spans="2:9" ht="30">
      <c r="B95" t="s">
        <v>120</v>
      </c>
      <c r="C95" s="1" t="s">
        <v>121</v>
      </c>
      <c r="D95" s="22">
        <f>IF(D59="No","NA",IF(AND(D59="Yes",D60="No"),'Tool 09'!C26,"User Input, See Help Text"))</f>
        <v>0.85</v>
      </c>
      <c r="E95" t="str">
        <f>IF(D58='AMS I.C. MF Dropdown Items'!C11,"Yes","NA")</f>
        <v>NA</v>
      </c>
      <c r="F95" t="str">
        <f>IF(AND(D59="Yes",D60="Yes",D30="Yes"),'Help Text Notes'!A2,IF(AND(D30="Yes",D35="Yes",D61="Yes"),'Help Text Notes'!A3,IF(D62="Yes",'Help Text Notes'!A5,"NA")))</f>
        <v>NA</v>
      </c>
      <c r="G95" t="s">
        <v>122</v>
      </c>
      <c r="H95" t="str">
        <f>IF(D67="User Input, See Help Text","Number","Referenced Parameter")</f>
        <v>Referenced Parameter</v>
      </c>
      <c r="I95" t="s">
        <v>16</v>
      </c>
    </row>
    <row r="96" spans="2:9" ht="28.9" customHeight="1">
      <c r="B96" t="s">
        <v>123</v>
      </c>
      <c r="C96" s="1" t="s">
        <v>124</v>
      </c>
      <c r="D96" s="22">
        <f>(D93/D95)*D94</f>
        <v>1395.1058823529413</v>
      </c>
      <c r="E96" t="str">
        <f>IF(D58='AMS I.C. MF Dropdown Items'!C11,"Yes","NA")</f>
        <v>NA</v>
      </c>
      <c r="H96" t="s">
        <v>102</v>
      </c>
      <c r="I96" t="s">
        <v>16</v>
      </c>
    </row>
    <row r="97" spans="2:9" ht="16.149999999999999" customHeight="1">
      <c r="B97" t="s">
        <v>11</v>
      </c>
      <c r="C97" s="11" t="s">
        <v>162</v>
      </c>
      <c r="D97" s="2" t="s">
        <v>163</v>
      </c>
      <c r="E97" t="str">
        <f>IF(D58='AMS I.C. MF Dropdown Items'!C11,"Yes","NA")</f>
        <v>NA</v>
      </c>
      <c r="H97" t="s">
        <v>15</v>
      </c>
      <c r="I97" t="s">
        <v>16</v>
      </c>
    </row>
    <row r="98" spans="2:9" ht="28.9" customHeight="1">
      <c r="B98" t="s">
        <v>164</v>
      </c>
      <c r="C98" s="1" t="s">
        <v>165</v>
      </c>
      <c r="D98" s="22">
        <f>IF(AND(D59="Yes",D60="No"),'Tool 09'!C26,"User Input, See Help Text")</f>
        <v>0.85</v>
      </c>
      <c r="E98" t="str">
        <f>IF(D58='AMS I.C. MF Dropdown Items'!C11,"Yes","NA")</f>
        <v>NA</v>
      </c>
      <c r="F98" t="b">
        <f>IF(AND(D59="Yes",D60="Yes",D30="Yes"),'Help Text Notes'!A2,IF(D35="Yes",'Help Text Notes'!A6))</f>
        <v>0</v>
      </c>
      <c r="G98" t="s">
        <v>166</v>
      </c>
      <c r="H98" t="str">
        <f>IF(D67="User Input, See Help Text","Number","Referenced Parameter")</f>
        <v>Referenced Parameter</v>
      </c>
      <c r="I98" t="s">
        <v>16</v>
      </c>
    </row>
    <row r="99" spans="2:9" ht="28.9" customHeight="1">
      <c r="B99" t="s">
        <v>167</v>
      </c>
      <c r="C99" s="1" t="s">
        <v>168</v>
      </c>
      <c r="D99" s="168">
        <v>13</v>
      </c>
      <c r="E99" t="str">
        <f>IF(D58='AMS I.C. MF Dropdown Items'!C11,"Yes","NA")</f>
        <v>NA</v>
      </c>
      <c r="F99" t="str">
        <f>'Help Text Notes'!A31</f>
        <v xml:space="preserve">Help Text: Calculate the cooling output of baseline scenario chiller(s) i in year y (MWhth) using equation 8 in the methodology and enter here.  </v>
      </c>
      <c r="H99" t="s">
        <v>91</v>
      </c>
      <c r="I99" t="s">
        <v>16</v>
      </c>
    </row>
    <row r="100" spans="2:9" ht="28.9" customHeight="1">
      <c r="B100" t="s">
        <v>169</v>
      </c>
      <c r="C100" s="1" t="s">
        <v>170</v>
      </c>
      <c r="H100" t="s">
        <v>171</v>
      </c>
    </row>
    <row r="101" spans="2:9" ht="15.6" customHeight="1">
      <c r="C101" s="24" t="s">
        <v>172</v>
      </c>
      <c r="I101" t="s">
        <v>14</v>
      </c>
    </row>
    <row r="102" spans="2:9" ht="16.149999999999999" customHeight="1">
      <c r="B102" s="87" t="s">
        <v>11</v>
      </c>
      <c r="C102" s="24" t="s">
        <v>162</v>
      </c>
      <c r="D102" s="124" t="s">
        <v>173</v>
      </c>
      <c r="E102" s="87" t="str">
        <f>IF(D58='AMS I.C. MF Dropdown Items'!C11,"Yes","NA")</f>
        <v>NA</v>
      </c>
      <c r="F102" s="87"/>
      <c r="G102" s="87" t="s">
        <v>174</v>
      </c>
      <c r="H102" t="s">
        <v>15</v>
      </c>
      <c r="I102" t="s">
        <v>16</v>
      </c>
    </row>
    <row r="103" spans="2:9" ht="28.9" customHeight="1">
      <c r="B103" s="87" t="s">
        <v>164</v>
      </c>
      <c r="C103" s="91" t="s">
        <v>165</v>
      </c>
      <c r="D103" s="88">
        <f>IF(AND(D59="Yes",D60="No"),'Tool 09'!C26,"User Input, See Help Text")</f>
        <v>0.85</v>
      </c>
      <c r="E103" s="87" t="str">
        <f>IF(D58='AMS I.C. MF Dropdown Items'!C11,"Yes","NA")</f>
        <v>NA</v>
      </c>
      <c r="F103" s="87" t="b">
        <f>IF(AND(D59="Yes",D60="Yes",D30="Yes"),'Help Text Notes'!A2,IF(D35="Yes",'Help Text Notes'!A6))</f>
        <v>0</v>
      </c>
      <c r="G103" s="87" t="s">
        <v>175</v>
      </c>
      <c r="H103" t="str">
        <f>IF(D67="User Input, See Help Text","Number","Referenced Parameter")</f>
        <v>Referenced Parameter</v>
      </c>
      <c r="I103" t="s">
        <v>16</v>
      </c>
    </row>
    <row r="104" spans="2:9" ht="28.9" customHeight="1">
      <c r="B104" s="87" t="s">
        <v>167</v>
      </c>
      <c r="C104" s="91" t="s">
        <v>168</v>
      </c>
      <c r="D104" s="169">
        <v>12</v>
      </c>
      <c r="E104" s="87" t="str">
        <f>IF(D58='AMS I.C. MF Dropdown Items'!C11,"Yes","NA")</f>
        <v>NA</v>
      </c>
      <c r="F104" s="87" t="str">
        <f>'Help Text Notes'!A31</f>
        <v xml:space="preserve">Help Text: Calculate the cooling output of baseline scenario chiller(s) i in year y (MWhth) using equation 8 in the methodology and enter here.  </v>
      </c>
      <c r="G104" s="87" t="s">
        <v>174</v>
      </c>
      <c r="H104" t="s">
        <v>102</v>
      </c>
      <c r="I104" t="s">
        <v>16</v>
      </c>
    </row>
    <row r="105" spans="2:9" ht="28.9" customHeight="1">
      <c r="B105" s="87" t="s">
        <v>169</v>
      </c>
      <c r="C105" s="1" t="s">
        <v>170</v>
      </c>
      <c r="G105" s="87"/>
      <c r="H105" t="s">
        <v>171</v>
      </c>
    </row>
    <row r="106" spans="2:9" ht="16.149999999999999" customHeight="1">
      <c r="B106" t="s">
        <v>176</v>
      </c>
      <c r="C106" s="1" t="s">
        <v>177</v>
      </c>
      <c r="D106" s="22">
        <f>D91*SUM((D99/D98)+(D104/D103))</f>
        <v>22.352941176470591</v>
      </c>
      <c r="E106" t="str">
        <f>IF(D58='AMS I.C. MF Dropdown Items'!C11,"Yes","NA")</f>
        <v>NA</v>
      </c>
      <c r="G106" s="87" t="s">
        <v>178</v>
      </c>
      <c r="H106" t="s">
        <v>102</v>
      </c>
      <c r="I106" t="s">
        <v>16</v>
      </c>
    </row>
    <row r="107" spans="2:9" ht="32.450000000000003" customHeight="1">
      <c r="B107" t="s">
        <v>179</v>
      </c>
      <c r="C107" s="1" t="s">
        <v>180</v>
      </c>
      <c r="D107">
        <v>748</v>
      </c>
      <c r="E107" t="str">
        <f>IF(D58='AMS I.C. MF Dropdown Items'!C11,"Yes","NA")</f>
        <v>NA</v>
      </c>
      <c r="F107" t="str">
        <f>'Help Text Notes'!A32</f>
        <v xml:space="preserve">Help Text: Calculate the baseline emissions associated with the heat (e.g. steam or hot water) produced in year y (t CO2e) using on equation 9 in the methodology and enter here. </v>
      </c>
      <c r="H107" t="s">
        <v>102</v>
      </c>
      <c r="I107" t="s">
        <v>16</v>
      </c>
    </row>
    <row r="108" spans="2:9" ht="35.450000000000003" customHeight="1" thickBot="1">
      <c r="B108" s="87" t="s">
        <v>181</v>
      </c>
      <c r="C108" s="1" t="s">
        <v>182</v>
      </c>
      <c r="H108" t="s">
        <v>171</v>
      </c>
    </row>
    <row r="109" spans="2:9" s="27" customFormat="1">
      <c r="B109" s="27" t="s">
        <v>183</v>
      </c>
      <c r="C109" s="28" t="s">
        <v>184</v>
      </c>
      <c r="D109" s="84">
        <f>D92+D96+D106+D107</f>
        <v>2823.6188235294121</v>
      </c>
      <c r="E109" s="27" t="str">
        <f>IF(D58='AMS I.C. MF Dropdown Items'!C11,"Yes","NA")</f>
        <v>NA</v>
      </c>
      <c r="H109" s="27" t="s">
        <v>102</v>
      </c>
      <c r="I109" s="27" t="s">
        <v>16</v>
      </c>
    </row>
    <row r="110" spans="2:9" s="13" customFormat="1" ht="15.75" thickTop="1">
      <c r="C110" s="12" t="s">
        <v>185</v>
      </c>
      <c r="E110" s="13" t="str">
        <f>IF(D63="Yes","Yes","NA")</f>
        <v>Yes</v>
      </c>
    </row>
    <row r="111" spans="2:9" s="25" customFormat="1" ht="45">
      <c r="B111" s="25" t="s">
        <v>11</v>
      </c>
      <c r="C111" s="26" t="s">
        <v>186</v>
      </c>
      <c r="D111" s="25" t="s">
        <v>16</v>
      </c>
      <c r="E111" s="25" t="str">
        <f>IF(D63="Yes","Yes","NA")</f>
        <v>Yes</v>
      </c>
      <c r="F111" s="25" t="b">
        <f>IF(D111="Yes",'Help Text Notes'!A7)</f>
        <v>0</v>
      </c>
      <c r="H111" s="25" t="s">
        <v>187</v>
      </c>
      <c r="I111" s="25" t="s">
        <v>16</v>
      </c>
    </row>
    <row r="112" spans="2:9" s="25" customFormat="1" ht="30">
      <c r="B112" s="25" t="s">
        <v>11</v>
      </c>
      <c r="C112" s="26" t="s">
        <v>188</v>
      </c>
      <c r="D112" s="25" t="s">
        <v>14</v>
      </c>
      <c r="E112" s="25" t="str">
        <f>IF(D63="Yes","Yes","NA")</f>
        <v>Yes</v>
      </c>
      <c r="H112" s="25" t="s">
        <v>187</v>
      </c>
      <c r="I112" s="25" t="s">
        <v>16</v>
      </c>
    </row>
    <row r="113" spans="2:9" s="25" customFormat="1" ht="30">
      <c r="B113" s="25" t="s">
        <v>11</v>
      </c>
      <c r="C113" s="26" t="s">
        <v>189</v>
      </c>
      <c r="D113" s="25" t="s">
        <v>14</v>
      </c>
      <c r="E113" s="25" t="str">
        <f>IF(D112="Yes","Yes","NA")</f>
        <v>Yes</v>
      </c>
      <c r="F113" s="25" t="str">
        <f>IF(D113="Yes",'Help Text Notes'!A8)</f>
        <v>Help Text: If the existing units shut down are derated, or otherwise become limited in production, the project activity should not get credit for generating thermal energy from the same renewable resources that would have otherwise been used by the existing units (or their replacements). Therefore, the equation for EGthermal,old,y still holds, and the value for EGthermal,estimated,y should continue to be estimated assuming the capacity and operating parameters are the same as that at the time of the start of the project activity.</v>
      </c>
      <c r="H113" s="25" t="s">
        <v>187</v>
      </c>
      <c r="I113" s="25" t="s">
        <v>16</v>
      </c>
    </row>
    <row r="114" spans="2:9" s="25" customFormat="1" ht="30">
      <c r="B114" s="25" t="s">
        <v>11</v>
      </c>
      <c r="C114" s="26" t="s">
        <v>190</v>
      </c>
      <c r="D114" s="25" t="s">
        <v>14</v>
      </c>
      <c r="E114" s="25" t="str">
        <f>IF(D59="Yes","Yes","NA")</f>
        <v>Yes</v>
      </c>
      <c r="F114" s="25" t="str">
        <f>IF(D114="Yes",'Help Text Notes'!A9)</f>
        <v>Help Text: If the existing units are subject to modifications or retrofits that increase production, then EGthermal,old,y can be estimated using the procedures described for EGBL,thermal,retrofit,y below.</v>
      </c>
      <c r="H114" s="25" t="s">
        <v>187</v>
      </c>
      <c r="I114" s="25" t="s">
        <v>16</v>
      </c>
    </row>
    <row r="115" spans="2:9" ht="30">
      <c r="B115" t="s">
        <v>191</v>
      </c>
      <c r="C115" s="1" t="s">
        <v>192</v>
      </c>
      <c r="D115">
        <v>64.7</v>
      </c>
      <c r="E115" t="str">
        <f>IF(D112="Yes","Yes","NA")</f>
        <v>Yes</v>
      </c>
      <c r="H115" t="s">
        <v>193</v>
      </c>
      <c r="I115" t="s">
        <v>16</v>
      </c>
    </row>
    <row r="116" spans="2:9">
      <c r="B116" t="s">
        <v>194</v>
      </c>
      <c r="C116" s="1" t="s">
        <v>195</v>
      </c>
      <c r="D116">
        <v>43.2</v>
      </c>
      <c r="E116" t="str">
        <f>IF(D112="Yes","Yes","NA")</f>
        <v>Yes</v>
      </c>
      <c r="H116" t="s">
        <v>193</v>
      </c>
      <c r="I116" t="s">
        <v>16</v>
      </c>
    </row>
    <row r="117" spans="2:9" ht="30">
      <c r="B117" t="s">
        <v>196</v>
      </c>
      <c r="C117" s="1" t="s">
        <v>197</v>
      </c>
      <c r="D117">
        <v>50</v>
      </c>
      <c r="E117" t="str">
        <f>IF(D112="Yes","Yes","NA")</f>
        <v>Yes</v>
      </c>
      <c r="H117" t="s">
        <v>193</v>
      </c>
      <c r="I117" t="s">
        <v>16</v>
      </c>
    </row>
    <row r="118" spans="2:9" ht="30">
      <c r="B118" t="s">
        <v>198</v>
      </c>
      <c r="C118" s="1" t="s">
        <v>199</v>
      </c>
      <c r="D118" s="22">
        <f>MAX(D116,D117)</f>
        <v>50</v>
      </c>
      <c r="E118" t="str">
        <f>IF(D112="Yes","Yes","NA")</f>
        <v>Yes</v>
      </c>
      <c r="H118" t="s">
        <v>200</v>
      </c>
      <c r="I118" t="s">
        <v>16</v>
      </c>
    </row>
    <row r="119" spans="2:9" ht="30">
      <c r="B119" t="s">
        <v>201</v>
      </c>
      <c r="C119" s="1" t="s">
        <v>202</v>
      </c>
      <c r="D119" s="22">
        <f>D115-D118</f>
        <v>14.700000000000003</v>
      </c>
      <c r="E119" t="str">
        <f>IF(D112="Yes","Yes","NA")</f>
        <v>Yes</v>
      </c>
      <c r="H119" t="s">
        <v>200</v>
      </c>
      <c r="I119" t="s">
        <v>16</v>
      </c>
    </row>
    <row r="120" spans="2:9" s="13" customFormat="1">
      <c r="C120" s="12" t="s">
        <v>203</v>
      </c>
      <c r="E120" s="13" t="str">
        <f>IF(OR(D32="Yes",D33="Yes",D34="Yes",D114="Yes"),"Yes","NA")</f>
        <v>Yes</v>
      </c>
    </row>
    <row r="121" spans="2:9" ht="60">
      <c r="B121" t="s">
        <v>204</v>
      </c>
      <c r="C121" s="1" t="s">
        <v>205</v>
      </c>
      <c r="D121">
        <v>34.21</v>
      </c>
      <c r="E121" t="str">
        <f>IF(AND(D33="Yes",D34="No"),"Yes","NA")</f>
        <v>NA</v>
      </c>
      <c r="H121" t="s">
        <v>193</v>
      </c>
      <c r="I121" t="s">
        <v>16</v>
      </c>
    </row>
    <row r="122" spans="2:9" ht="30">
      <c r="B122" t="s">
        <v>206</v>
      </c>
      <c r="C122" s="1" t="s">
        <v>207</v>
      </c>
      <c r="D122">
        <v>33.979999999999997</v>
      </c>
      <c r="E122" t="str">
        <f>IF(AND(D33="Yes",D34="No"),"Yes","NA")</f>
        <v>NA</v>
      </c>
      <c r="H122" t="s">
        <v>193</v>
      </c>
      <c r="I122" t="s">
        <v>16</v>
      </c>
    </row>
    <row r="123" spans="2:9" ht="30">
      <c r="B123" t="s">
        <v>208</v>
      </c>
      <c r="C123" s="1" t="s">
        <v>209</v>
      </c>
      <c r="D123" s="170">
        <v>46388</v>
      </c>
      <c r="E123" t="str">
        <f>IF(AND(D33="Yes",D34="No"),"Yes","NA")</f>
        <v>NA</v>
      </c>
      <c r="F123" t="str">
        <f>'Help Text Notes'!A22</f>
        <v>Help Text: In order to estimate the point in time when the existing equipment would need to be replaced in the absence of the project activity (DATEBaselineRetrofit), project participants may follow the procedures described in the “General guidelines for SSC CDM methodologies”.</v>
      </c>
      <c r="H123" t="s">
        <v>210</v>
      </c>
      <c r="I123" t="s">
        <v>16</v>
      </c>
    </row>
    <row r="124" spans="2:9" ht="32.450000000000003" customHeight="1">
      <c r="B124" t="s">
        <v>211</v>
      </c>
      <c r="C124" s="1" t="s">
        <v>212</v>
      </c>
      <c r="D124" s="22">
        <f>MAX(D121,D122)</f>
        <v>34.21</v>
      </c>
      <c r="G124" t="s">
        <v>213</v>
      </c>
      <c r="H124" t="s">
        <v>200</v>
      </c>
      <c r="I124" t="s">
        <v>16</v>
      </c>
    </row>
    <row r="125" spans="2:9">
      <c r="B125" t="s">
        <v>214</v>
      </c>
      <c r="C125" s="1" t="s">
        <v>215</v>
      </c>
      <c r="D125">
        <v>66.959999999999994</v>
      </c>
      <c r="E125" t="str">
        <f>IF(AND(D33="Yes",D34="No"),"Yes","NA")</f>
        <v>NA</v>
      </c>
      <c r="F125" t="str">
        <f>'Help Text Notes'!A23</f>
        <v>Help Text: The requirements concerning demonstration of the remaining lifetime of the replaced equipment shall be met as described in the “General guidelines for SSC CDM methodologies”. If the remaining lifetime of the affected systems increases due to the project activity, the crediting period shall be limited to the estimated remaining lifetime, i.e. the time when the affected systems would have been replaced in the absence of the project activity.</v>
      </c>
      <c r="H125" t="s">
        <v>91</v>
      </c>
      <c r="I125" t="s">
        <v>16</v>
      </c>
    </row>
    <row r="126" spans="2:9" ht="45">
      <c r="B126" t="s">
        <v>216</v>
      </c>
      <c r="C126" s="1" t="s">
        <v>217</v>
      </c>
      <c r="D126">
        <v>2.69</v>
      </c>
      <c r="E126" t="str">
        <f>IF(AND(D33="Yes",D34="No"),"Yes","NA")</f>
        <v>NA</v>
      </c>
      <c r="F126"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H126" t="s">
        <v>91</v>
      </c>
      <c r="I126" t="s">
        <v>16</v>
      </c>
    </row>
    <row r="127" spans="2:9" ht="30">
      <c r="B127" t="s">
        <v>218</v>
      </c>
      <c r="C127" s="1" t="s">
        <v>219</v>
      </c>
      <c r="D127" s="22">
        <f>(D125-D124)*D126</f>
        <v>88.097499999999982</v>
      </c>
      <c r="E127" t="str">
        <f>IF(AND(D33="Yes",D34="No"),"Yes","NA")</f>
        <v>NA</v>
      </c>
      <c r="H127" t="s">
        <v>200</v>
      </c>
      <c r="I127" t="s">
        <v>16</v>
      </c>
    </row>
    <row r="128" spans="2:9" s="13" customFormat="1">
      <c r="C128" s="12" t="s">
        <v>220</v>
      </c>
      <c r="E128" s="13" t="str">
        <f>IF(D62="Yes","Yes","NA")</f>
        <v>NA</v>
      </c>
    </row>
    <row r="129" spans="2:9">
      <c r="B129" t="s">
        <v>221</v>
      </c>
      <c r="C129" s="1" t="s">
        <v>222</v>
      </c>
      <c r="D129">
        <v>100</v>
      </c>
      <c r="E129" t="str">
        <f>IF(D62="Yes","Yes","NA")</f>
        <v>NA</v>
      </c>
      <c r="H129" t="s">
        <v>91</v>
      </c>
      <c r="I129" t="s">
        <v>16</v>
      </c>
    </row>
    <row r="130" spans="2:9">
      <c r="B130" t="s">
        <v>223</v>
      </c>
      <c r="C130" s="1" t="s">
        <v>224</v>
      </c>
      <c r="D130">
        <v>0.9</v>
      </c>
      <c r="E130" t="str">
        <f>IF(D62="Yes","Yes","NA")</f>
        <v>NA</v>
      </c>
      <c r="H130" t="s">
        <v>91</v>
      </c>
      <c r="I130" t="s">
        <v>16</v>
      </c>
    </row>
    <row r="131" spans="2:9">
      <c r="B131" t="s">
        <v>225</v>
      </c>
      <c r="C131" s="1" t="s">
        <v>226</v>
      </c>
      <c r="D131">
        <v>0.9</v>
      </c>
      <c r="E131" t="str">
        <f>IF(D62="Yes","Yes","NA")</f>
        <v>NA</v>
      </c>
      <c r="F131" t="str">
        <f>'Help Text Notes'!A24</f>
        <v>Help Text: Measured using representative sampling methods or based on referenced literature values. The efficiency tests shall be conducted following the guidance provided in the relevant national/international standards.</v>
      </c>
      <c r="H131" t="s">
        <v>91</v>
      </c>
      <c r="I131" t="s">
        <v>16</v>
      </c>
    </row>
    <row r="132" spans="2:9" ht="30">
      <c r="B132" t="s">
        <v>227</v>
      </c>
      <c r="C132" s="1" t="s">
        <v>228</v>
      </c>
      <c r="D132" s="22">
        <f>D129*D130*D131</f>
        <v>81</v>
      </c>
      <c r="E132" t="str">
        <f>IF(D62="Yes","Yes","NA")</f>
        <v>NA</v>
      </c>
      <c r="H132" t="s">
        <v>200</v>
      </c>
      <c r="I132" t="s">
        <v>16</v>
      </c>
    </row>
    <row r="133" spans="2:9">
      <c r="B133" t="s">
        <v>229</v>
      </c>
      <c r="C133" s="1" t="s">
        <v>230</v>
      </c>
      <c r="D133" s="22">
        <f>IF(AND(D59="Yes",D60="No"),'Tool 09'!C26,"User Input, See Help Text")</f>
        <v>0.85</v>
      </c>
      <c r="E133" t="str">
        <f>IF(D62="Yes","Yes","NA")</f>
        <v>NA</v>
      </c>
      <c r="F133" t="str">
        <f>IF(AND(D59="Yes",D60="Yes",D30="Yes"),'Help Text Notes'!A2,IF(AND(D30="Yes",D35="Yes",D61="Yes"),'Help Text Notes'!A3,IF(D30="No",'Help Text Notes'!A4,IF(D62="Yes",'Help Text Notes'!A5))))</f>
        <v>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v>
      </c>
      <c r="G133" t="s">
        <v>166</v>
      </c>
      <c r="H133" t="str">
        <f>IF(D67="User Input, See Help Text","Number","Referenced Parameter")</f>
        <v>Referenced Parameter</v>
      </c>
      <c r="I133" t="s">
        <v>16</v>
      </c>
    </row>
    <row r="134" spans="2:9" ht="30">
      <c r="B134" t="s">
        <v>216</v>
      </c>
      <c r="C134" s="1" t="s">
        <v>231</v>
      </c>
      <c r="D134">
        <v>2.99</v>
      </c>
      <c r="E134" t="str">
        <f>IF(D62="Yes","Yes","NA")</f>
        <v>NA</v>
      </c>
      <c r="H134" t="s">
        <v>91</v>
      </c>
      <c r="I134" t="s">
        <v>16</v>
      </c>
    </row>
    <row r="135" spans="2:9" ht="30">
      <c r="B135" t="s">
        <v>232</v>
      </c>
      <c r="C135" s="1" t="s">
        <v>233</v>
      </c>
      <c r="D135" s="22">
        <f>(D132/D133)*D134</f>
        <v>284.92941176470589</v>
      </c>
      <c r="E135" t="str">
        <f>IF(D62="Yes","Yes","NA")</f>
        <v>NA</v>
      </c>
      <c r="H135" t="s">
        <v>200</v>
      </c>
      <c r="I135" t="s">
        <v>16</v>
      </c>
    </row>
    <row r="136" spans="2:9" s="13" customFormat="1">
      <c r="C136" s="12" t="s">
        <v>234</v>
      </c>
      <c r="E136" s="13" t="s">
        <v>14</v>
      </c>
    </row>
    <row r="137" spans="2:9" ht="30">
      <c r="B137" t="s">
        <v>11</v>
      </c>
      <c r="C137" s="1" t="s">
        <v>235</v>
      </c>
      <c r="E137" t="s">
        <v>14</v>
      </c>
      <c r="H137" t="s">
        <v>15</v>
      </c>
      <c r="I137" t="s">
        <v>16</v>
      </c>
    </row>
    <row r="138" spans="2:9" ht="30">
      <c r="B138" t="s">
        <v>11</v>
      </c>
      <c r="C138" s="1" t="s">
        <v>236</v>
      </c>
      <c r="E138" t="s">
        <v>14</v>
      </c>
      <c r="H138" t="s">
        <v>171</v>
      </c>
      <c r="I138" t="s">
        <v>16</v>
      </c>
    </row>
    <row r="139" spans="2:9" s="10" customFormat="1" ht="18.75">
      <c r="C139" s="9" t="s">
        <v>237</v>
      </c>
      <c r="E139" s="10" t="s">
        <v>14</v>
      </c>
    </row>
    <row r="140" spans="2:9" s="25" customFormat="1">
      <c r="B140" s="25" t="s">
        <v>11</v>
      </c>
      <c r="C140" s="26" t="s">
        <v>238</v>
      </c>
      <c r="D140" s="25" t="s">
        <v>14</v>
      </c>
    </row>
    <row r="141" spans="2:9" s="25" customFormat="1">
      <c r="B141" s="25" t="s">
        <v>11</v>
      </c>
      <c r="C141" s="26" t="s">
        <v>239</v>
      </c>
      <c r="D141" s="25" t="s">
        <v>16</v>
      </c>
      <c r="I141" s="25" t="s">
        <v>16</v>
      </c>
    </row>
    <row r="142" spans="2:9" s="13" customFormat="1">
      <c r="C142" s="12" t="s">
        <v>240</v>
      </c>
      <c r="E142" s="13" t="s">
        <v>14</v>
      </c>
    </row>
    <row r="143" spans="2:9">
      <c r="B143" t="s">
        <v>241</v>
      </c>
      <c r="C143" s="1" t="s">
        <v>242</v>
      </c>
      <c r="D143" s="22">
        <f>'(Revised) Tool 03'!G3</f>
        <v>73.333333333333329</v>
      </c>
      <c r="E143" t="s">
        <v>14</v>
      </c>
      <c r="F143" t="str">
        <f>'Help Text Notes'!A26</f>
        <v xml:space="preserve">Help Text: Fossil fuels required for the operation of equipment related to the on-site or off-site preparation, storage, processing and transporting of fuels and biomass (e.g. for mechanical treatment of the biomass, conveyor belts, driers, pelletization, shredding, briquetting processes, etc.) shall be treated under PEbiomass,y. </v>
      </c>
      <c r="H143" t="s">
        <v>243</v>
      </c>
      <c r="I143" t="s">
        <v>16</v>
      </c>
    </row>
    <row r="144" spans="2:9" s="13" customFormat="1">
      <c r="C144" s="12" t="s">
        <v>244</v>
      </c>
      <c r="E144" s="13" t="s">
        <v>14</v>
      </c>
    </row>
    <row r="145" spans="2:9">
      <c r="B145" t="s">
        <v>245</v>
      </c>
      <c r="C145" s="1" t="s">
        <v>246</v>
      </c>
      <c r="D145" s="22">
        <f>'Tool 05.1'!G6</f>
        <v>0.73499999999999999</v>
      </c>
      <c r="E145" t="s">
        <v>14</v>
      </c>
      <c r="F145" t="str">
        <f>'Help Text Notes'!A27</f>
        <v xml:space="preserve">Help Text: Electricity required for the operation of equipment related to the on-site or off-site preparation, storage, processing and transportation of fuels and biomass (e.g. for mechanical treatment of the biomass, conveyor belts, driers, pelletization, shredding, briquetting processes, etc.) shall be treated under PEbiomass,y. </v>
      </c>
      <c r="H145" t="s">
        <v>243</v>
      </c>
      <c r="I145" t="s">
        <v>16</v>
      </c>
    </row>
    <row r="146" spans="2:9" s="13" customFormat="1">
      <c r="C146" s="12" t="s">
        <v>247</v>
      </c>
      <c r="E146" s="13" t="str">
        <f>D140</f>
        <v>Yes</v>
      </c>
    </row>
    <row r="147" spans="2:9" s="25" customFormat="1" ht="30">
      <c r="B147" s="25" t="s">
        <v>11</v>
      </c>
      <c r="C147" s="26" t="s">
        <v>248</v>
      </c>
      <c r="D147" s="25" t="s">
        <v>11</v>
      </c>
      <c r="E147" s="25" t="str">
        <f>D140</f>
        <v>Yes</v>
      </c>
      <c r="H147" s="25" t="s">
        <v>28</v>
      </c>
      <c r="I147" s="25" t="s">
        <v>16</v>
      </c>
    </row>
    <row r="148" spans="2:9" s="25" customFormat="1" ht="30">
      <c r="B148" s="25" t="s">
        <v>11</v>
      </c>
      <c r="C148" s="26" t="s">
        <v>249</v>
      </c>
      <c r="D148" s="25" t="s">
        <v>11</v>
      </c>
      <c r="E148" s="25" t="str">
        <f>D140</f>
        <v>Yes</v>
      </c>
      <c r="H148" s="25" t="s">
        <v>28</v>
      </c>
      <c r="I148" s="25" t="s">
        <v>16</v>
      </c>
    </row>
    <row r="149" spans="2:9">
      <c r="B149" t="s">
        <v>250</v>
      </c>
      <c r="C149" s="1" t="s">
        <v>251</v>
      </c>
      <c r="D149">
        <v>7.0000000000000001E-3</v>
      </c>
      <c r="E149" t="str">
        <f>IF(D147="Yes","Yes","NA")</f>
        <v>NA</v>
      </c>
      <c r="H149" t="s">
        <v>91</v>
      </c>
      <c r="I149" t="s">
        <v>16</v>
      </c>
    </row>
    <row r="150" spans="2:9">
      <c r="B150" t="s">
        <v>252</v>
      </c>
      <c r="C150" s="1" t="s">
        <v>253</v>
      </c>
      <c r="D150">
        <v>9.9999999999999995E-7</v>
      </c>
      <c r="E150" t="str">
        <f>IF(D147="Yes","Yes","NA")</f>
        <v>NA</v>
      </c>
      <c r="H150" t="s">
        <v>91</v>
      </c>
      <c r="I150" t="s">
        <v>16</v>
      </c>
    </row>
    <row r="151" spans="2:9" ht="30">
      <c r="B151" t="s">
        <v>254</v>
      </c>
      <c r="C151" s="1" t="s">
        <v>255</v>
      </c>
      <c r="D151">
        <v>28</v>
      </c>
      <c r="E151" t="str">
        <f>IF(D147="Yes","Yes","NA")</f>
        <v>NA</v>
      </c>
      <c r="H151" t="s">
        <v>91</v>
      </c>
      <c r="I151" t="s">
        <v>16</v>
      </c>
    </row>
    <row r="152" spans="2:9">
      <c r="B152" t="s">
        <v>256</v>
      </c>
      <c r="C152" s="1" t="s">
        <v>257</v>
      </c>
      <c r="D152" s="168">
        <v>555</v>
      </c>
      <c r="E152" t="str">
        <f>IF(D147="Yes","Yes","NA")</f>
        <v>NA</v>
      </c>
      <c r="H152" t="s">
        <v>91</v>
      </c>
      <c r="I152" t="s">
        <v>16</v>
      </c>
    </row>
    <row r="153" spans="2:9" ht="45">
      <c r="B153" t="s">
        <v>258</v>
      </c>
      <c r="C153" s="1" t="s">
        <v>259</v>
      </c>
      <c r="D153" s="22">
        <f>(D149+D150*D151)*D152</f>
        <v>3.9005400000000003</v>
      </c>
      <c r="E153" t="str">
        <f>IF(D147="Yes","Yes","NA")</f>
        <v>NA</v>
      </c>
      <c r="H153" t="s">
        <v>200</v>
      </c>
      <c r="I153" t="s">
        <v>16</v>
      </c>
    </row>
    <row r="154" spans="2:9">
      <c r="C154" s="1" t="s">
        <v>260</v>
      </c>
      <c r="D154" t="s">
        <v>261</v>
      </c>
      <c r="E154" t="str">
        <f>D140</f>
        <v>Yes</v>
      </c>
      <c r="H154" t="s">
        <v>15</v>
      </c>
      <c r="I154" t="s">
        <v>16</v>
      </c>
    </row>
    <row r="155" spans="2:9">
      <c r="B155" t="s">
        <v>262</v>
      </c>
      <c r="C155" s="1" t="s">
        <v>263</v>
      </c>
      <c r="D155" s="22">
        <f>'(Revised) Tool 03'!G3</f>
        <v>73.333333333333329</v>
      </c>
      <c r="E155" t="str">
        <f>D140</f>
        <v>Yes</v>
      </c>
      <c r="H155" t="s">
        <v>243</v>
      </c>
      <c r="I155" t="s">
        <v>16</v>
      </c>
    </row>
    <row r="156" spans="2:9" ht="30">
      <c r="B156" t="s">
        <v>241</v>
      </c>
      <c r="C156" s="1" t="s">
        <v>264</v>
      </c>
      <c r="D156" s="22">
        <f>D155</f>
        <v>73.333333333333329</v>
      </c>
      <c r="E156" t="str">
        <f>IF(D148="Yes","Yes","NA")</f>
        <v>NA</v>
      </c>
      <c r="H156" t="s">
        <v>200</v>
      </c>
      <c r="I156" t="s">
        <v>16</v>
      </c>
    </row>
    <row r="157" spans="2:9" s="2" customFormat="1">
      <c r="C157" s="11" t="s">
        <v>265</v>
      </c>
      <c r="I157" s="2" t="s">
        <v>14</v>
      </c>
    </row>
    <row r="158" spans="2:9">
      <c r="C158" s="1" t="s">
        <v>260</v>
      </c>
      <c r="D158" t="s">
        <v>266</v>
      </c>
      <c r="E158" t="str">
        <f>D140</f>
        <v>Yes</v>
      </c>
      <c r="G158" t="s">
        <v>267</v>
      </c>
      <c r="H158" t="s">
        <v>15</v>
      </c>
      <c r="I158" t="s">
        <v>16</v>
      </c>
    </row>
    <row r="159" spans="2:9">
      <c r="B159" t="s">
        <v>262</v>
      </c>
      <c r="C159" s="1" t="s">
        <v>263</v>
      </c>
      <c r="D159" s="22">
        <f>'(Revised) Tool 03'!G3</f>
        <v>73.333333333333329</v>
      </c>
      <c r="E159" t="str">
        <f>D140</f>
        <v>Yes</v>
      </c>
      <c r="G159" t="s">
        <v>267</v>
      </c>
      <c r="H159" t="s">
        <v>243</v>
      </c>
      <c r="I159" t="s">
        <v>16</v>
      </c>
    </row>
    <row r="160" spans="2:9" ht="30.75" thickBot="1">
      <c r="B160" t="s">
        <v>241</v>
      </c>
      <c r="C160" s="1" t="s">
        <v>264</v>
      </c>
      <c r="D160" s="22">
        <f>D159</f>
        <v>73.333333333333329</v>
      </c>
      <c r="E160" t="str">
        <f>IF(D152="Yes","Yes","NA")</f>
        <v>NA</v>
      </c>
      <c r="G160" t="s">
        <v>267</v>
      </c>
      <c r="H160" t="s">
        <v>200</v>
      </c>
      <c r="I160" t="s">
        <v>16</v>
      </c>
    </row>
    <row r="161" spans="2:9" s="27" customFormat="1">
      <c r="B161" s="27" t="s">
        <v>268</v>
      </c>
      <c r="C161" s="28" t="s">
        <v>269</v>
      </c>
      <c r="D161" s="84">
        <f>D153+SUM(D156,D160)</f>
        <v>150.56720666666666</v>
      </c>
      <c r="G161" s="27" t="s">
        <v>270</v>
      </c>
      <c r="H161" s="27" t="s">
        <v>200</v>
      </c>
      <c r="I161" s="27" t="s">
        <v>16</v>
      </c>
    </row>
    <row r="162" spans="2:9" s="13" customFormat="1" ht="15.75" thickTop="1">
      <c r="C162" s="12" t="s">
        <v>271</v>
      </c>
      <c r="E162" s="13" t="str">
        <f>IF(D141="Yes","Yes","NA")</f>
        <v>NA</v>
      </c>
    </row>
    <row r="163" spans="2:9" s="25" customFormat="1">
      <c r="B163" s="25" t="s">
        <v>11</v>
      </c>
      <c r="C163" s="26" t="s">
        <v>272</v>
      </c>
      <c r="D163" s="25" t="s">
        <v>16</v>
      </c>
      <c r="E163" s="25" t="str">
        <f>IF(D141="Yes","Yes","NA")</f>
        <v>NA</v>
      </c>
      <c r="H163" s="25" t="s">
        <v>28</v>
      </c>
      <c r="I163" s="25" t="s">
        <v>16</v>
      </c>
    </row>
    <row r="164" spans="2:9" s="25" customFormat="1" ht="120">
      <c r="B164" s="25" t="s">
        <v>11</v>
      </c>
      <c r="C164" s="26" t="s">
        <v>273</v>
      </c>
      <c r="D164" s="25" t="s">
        <v>274</v>
      </c>
      <c r="E164" s="25" t="str">
        <f>IF(D141="Yes","Yes","NA")</f>
        <v>NA</v>
      </c>
      <c r="F164" s="26" t="str">
        <f>'Help Text Notes'!A28</f>
        <v>Help Text: Option A: using the higher of the two quantities below: (i) The monitored quantity of refrigerant used for top-up to compensate for the leaked quantity during the year y; or (ii) The typical refrigerant leakage rate for the type of cooling equipment as determined from the emission factors (expressed in terms percentage of the initial charge/year) provided in the IPCC 2006 Guidelines, Chapter 7, Table 7.9 “Estimates for charge, lifetime and emissions factors for refrigeration and air conditioning systems”. 
Option B: use a default value of 35 per cent of the initial refrigerant charge, i.e. Qref,PJ,y = 0.35 x Qref,PJ,start.</v>
      </c>
      <c r="H164" s="25" t="s">
        <v>28</v>
      </c>
      <c r="I164" s="25" t="s">
        <v>16</v>
      </c>
    </row>
    <row r="165" spans="2:9" ht="30">
      <c r="B165" t="s">
        <v>11</v>
      </c>
      <c r="C165" s="1" t="s">
        <v>275</v>
      </c>
      <c r="D165">
        <v>0.33</v>
      </c>
      <c r="E165" t="str">
        <f>IF(D164="Option A","Yes","NA")</f>
        <v>NA</v>
      </c>
      <c r="H165" t="s">
        <v>91</v>
      </c>
      <c r="I165" t="s">
        <v>16</v>
      </c>
    </row>
    <row r="166" spans="2:9">
      <c r="B166" t="s">
        <v>11</v>
      </c>
      <c r="C166" s="1" t="s">
        <v>276</v>
      </c>
      <c r="D166">
        <v>0.3</v>
      </c>
      <c r="E166" t="str">
        <f>IF(D164="Option A","Yes","NA")</f>
        <v>NA</v>
      </c>
      <c r="F166" t="str">
        <f>'Help Text Notes'!A29</f>
        <v>Help Text: The typical refrigerant leakage rate for the type of cooling equipment as determined from the emission factors (expressed in terms percentage of the initial charge/year) provided in the IPCC 2006 Guidelines, Chapter 7, Table 7.9 “Estimates for charge, lifetime and emissions factors for refrigeration and air conditioning systems”.</v>
      </c>
      <c r="H166" t="s">
        <v>91</v>
      </c>
      <c r="I166" t="s">
        <v>16</v>
      </c>
    </row>
    <row r="167" spans="2:9" ht="30">
      <c r="B167" t="s">
        <v>277</v>
      </c>
      <c r="C167" s="1" t="s">
        <v>278</v>
      </c>
      <c r="D167">
        <v>1.2</v>
      </c>
      <c r="E167" t="str">
        <f>IF(D163="Yes","Yes","NA")</f>
        <v>NA</v>
      </c>
      <c r="H167" t="s">
        <v>91</v>
      </c>
      <c r="I167" t="s">
        <v>16</v>
      </c>
    </row>
    <row r="168" spans="2:9" ht="30">
      <c r="B168" t="s">
        <v>279</v>
      </c>
      <c r="C168" s="1" t="s">
        <v>280</v>
      </c>
      <c r="D168" s="22">
        <f>IF(D164="Option A",MAX(D165:D166),IF(D164="Option B",D167*0.35))</f>
        <v>0.42</v>
      </c>
      <c r="E168" t="str">
        <f>IF(D141="Yes","Yes","NA")</f>
        <v>NA</v>
      </c>
      <c r="H168" t="s">
        <v>200</v>
      </c>
      <c r="I168" t="s">
        <v>16</v>
      </c>
    </row>
    <row r="169" spans="2:9" ht="30">
      <c r="B169" t="s">
        <v>281</v>
      </c>
      <c r="C169" s="1" t="s">
        <v>282</v>
      </c>
      <c r="D169">
        <v>1300</v>
      </c>
      <c r="E169" t="str">
        <f>IF(D141="Yes","Yes","NA")</f>
        <v>NA</v>
      </c>
      <c r="H169" t="s">
        <v>91</v>
      </c>
      <c r="I169" t="s">
        <v>16</v>
      </c>
    </row>
    <row r="170" spans="2:9" ht="30">
      <c r="B170" t="s">
        <v>283</v>
      </c>
      <c r="C170" s="1" t="s">
        <v>284</v>
      </c>
      <c r="D170" s="22">
        <f>(D167)*D169</f>
        <v>1560</v>
      </c>
      <c r="E170" t="str">
        <f>IF(D163="Yes","Yes","NA")</f>
        <v>NA</v>
      </c>
      <c r="H170" t="s">
        <v>200</v>
      </c>
      <c r="I170" t="s">
        <v>16</v>
      </c>
    </row>
    <row r="171" spans="2:9">
      <c r="B171" t="s">
        <v>285</v>
      </c>
      <c r="C171" s="1" t="s">
        <v>286</v>
      </c>
      <c r="D171" s="22">
        <f>IF(D163="No",(D168)*D169,D170)</f>
        <v>546</v>
      </c>
      <c r="E171" t="str">
        <f>IF(D141="Yes","Yes","NA")</f>
        <v>NA</v>
      </c>
      <c r="H171" t="s">
        <v>200</v>
      </c>
      <c r="I171" t="s">
        <v>16</v>
      </c>
    </row>
    <row r="172" spans="2:9" s="86" customFormat="1">
      <c r="C172" s="12" t="s">
        <v>287</v>
      </c>
      <c r="E172" s="86" t="str">
        <f>IF(D45="Yes","Yes","NA")</f>
        <v>Yes</v>
      </c>
    </row>
    <row r="173" spans="2:9">
      <c r="B173" t="s">
        <v>288</v>
      </c>
      <c r="C173" s="1" t="s">
        <v>289</v>
      </c>
      <c r="D173" s="22">
        <f>SUM('Tool 16.1'!C71,'Tool 16.1'!C73,'Tool 16.1'!C74,'Tool 16.1'!C91,'Tool 16.1'!C107)</f>
        <v>930.91198636682373</v>
      </c>
      <c r="E173" t="str">
        <f>IF(D141="Yes","Yes","NA")</f>
        <v>NA</v>
      </c>
      <c r="H173" t="s">
        <v>243</v>
      </c>
      <c r="I173" t="s">
        <v>16</v>
      </c>
    </row>
    <row r="174" spans="2:9" s="10" customFormat="1" ht="18.75">
      <c r="C174" s="9" t="s">
        <v>290</v>
      </c>
      <c r="E174" s="10" t="s">
        <v>14</v>
      </c>
    </row>
    <row r="175" spans="2:9" s="25" customFormat="1" ht="30">
      <c r="B175" s="25" t="s">
        <v>11</v>
      </c>
      <c r="C175" s="26" t="s">
        <v>291</v>
      </c>
      <c r="D175" s="25" t="s">
        <v>16</v>
      </c>
      <c r="E175" s="25" t="s">
        <v>14</v>
      </c>
      <c r="H175" s="25" t="s">
        <v>28</v>
      </c>
      <c r="I175" s="25" t="s">
        <v>16</v>
      </c>
    </row>
    <row r="176" spans="2:9" s="25" customFormat="1" ht="30">
      <c r="B176" s="25" t="s">
        <v>11</v>
      </c>
      <c r="C176" s="26" t="s">
        <v>292</v>
      </c>
      <c r="D176" s="25" t="s">
        <v>16</v>
      </c>
      <c r="E176" s="25" t="s">
        <v>14</v>
      </c>
      <c r="F176" s="25" t="str">
        <f>'Help Text Notes'!A30</f>
        <v>Help Text: The global warming potentials used to calculate the carbon dioxide equivalence of anthropogenic emissions by sources of greenhouse gases not listed in annex A of the Kyoto Protocol, shall be those accepted by the Intergovernmental Panel on Climate Change in its third assessment report.</v>
      </c>
      <c r="H176" s="25" t="s">
        <v>28</v>
      </c>
      <c r="I176" s="25" t="s">
        <v>16</v>
      </c>
    </row>
    <row r="177" spans="1:9" ht="30">
      <c r="B177" t="s">
        <v>11</v>
      </c>
      <c r="C177" s="1" t="s">
        <v>293</v>
      </c>
      <c r="D177">
        <v>254</v>
      </c>
      <c r="E177" t="str">
        <f>IF(D175="Yes","Yes","NA")</f>
        <v>NA</v>
      </c>
      <c r="H177" t="s">
        <v>91</v>
      </c>
      <c r="I177" t="s">
        <v>16</v>
      </c>
    </row>
    <row r="178" spans="1:9">
      <c r="B178" t="s">
        <v>11</v>
      </c>
      <c r="C178" s="1" t="s">
        <v>294</v>
      </c>
      <c r="D178">
        <v>97.7</v>
      </c>
      <c r="E178" t="str">
        <f>IF(D176="Yes","Yes","NA")</f>
        <v>NA</v>
      </c>
      <c r="H178" t="s">
        <v>91</v>
      </c>
      <c r="I178" t="s">
        <v>16</v>
      </c>
    </row>
    <row r="179" spans="1:9">
      <c r="B179" t="s">
        <v>295</v>
      </c>
      <c r="C179" s="1" t="s">
        <v>296</v>
      </c>
      <c r="D179" s="22">
        <f>SUM('Tool 16.1'!C111,'Tool 16.1'!C116,'Tool 16.1'!C119,'Tool 16.1'!C136)</f>
        <v>812.6436759824785</v>
      </c>
      <c r="E179" t="str">
        <f>IF(D45="Yes","Yes","NA")</f>
        <v>Yes</v>
      </c>
      <c r="H179" t="s">
        <v>243</v>
      </c>
      <c r="I179" t="s">
        <v>16</v>
      </c>
    </row>
    <row r="180" spans="1:9" ht="30">
      <c r="B180" t="s">
        <v>11</v>
      </c>
      <c r="C180" s="1" t="s">
        <v>297</v>
      </c>
      <c r="E180" t="str">
        <f>IF(AND('Tool 16.1'!C27="Omitted",'Tool 22'!B10="Included"),"Yes","NA")</f>
        <v>NA</v>
      </c>
      <c r="H180" t="s">
        <v>15</v>
      </c>
      <c r="I180" t="s">
        <v>16</v>
      </c>
    </row>
    <row r="181" spans="1:9" ht="45">
      <c r="B181" t="s">
        <v>11</v>
      </c>
      <c r="C181" s="1" t="s">
        <v>298</v>
      </c>
      <c r="E181" t="str">
        <f>IF(AND('Tool 16.1'!C30="Omitted",'Tool 22'!B23="To be estimated and deducted"),"Yes","NA")</f>
        <v>NA</v>
      </c>
      <c r="H181" t="s">
        <v>15</v>
      </c>
      <c r="I181" t="s">
        <v>16</v>
      </c>
    </row>
    <row r="182" spans="1:9" ht="45">
      <c r="B182" t="s">
        <v>11</v>
      </c>
      <c r="C182" s="1" t="s">
        <v>299</v>
      </c>
      <c r="E182" t="str">
        <f>IF('Tool 16.1'!C32="Omitted","Yes","NA")</f>
        <v>Yes</v>
      </c>
      <c r="H182" t="s">
        <v>15</v>
      </c>
      <c r="I182" t="s">
        <v>16</v>
      </c>
    </row>
    <row r="183" spans="1:9" ht="45">
      <c r="B183" t="s">
        <v>11</v>
      </c>
      <c r="C183" s="1" t="s">
        <v>300</v>
      </c>
      <c r="E183" t="str">
        <f>IF('Tool 16.1'!C33="Omitted","Yes","NA")</f>
        <v>Yes</v>
      </c>
      <c r="H183" t="s">
        <v>15</v>
      </c>
      <c r="I183" t="s">
        <v>16</v>
      </c>
    </row>
    <row r="184" spans="1:9" s="10" customFormat="1" ht="18.75">
      <c r="C184" s="9" t="s">
        <v>301</v>
      </c>
      <c r="E184" s="10" t="s">
        <v>14</v>
      </c>
    </row>
    <row r="185" spans="1:9">
      <c r="A185" s="166" t="s">
        <v>302</v>
      </c>
      <c r="B185" t="s">
        <v>183</v>
      </c>
      <c r="C185" s="1" t="s">
        <v>303</v>
      </c>
      <c r="D185" s="22">
        <f>D68+D72+D77+D83+D88+D109+D127+D135</f>
        <v>6520.8931352941181</v>
      </c>
      <c r="E185" t="s">
        <v>14</v>
      </c>
      <c r="H185" t="s">
        <v>200</v>
      </c>
      <c r="I185" t="s">
        <v>16</v>
      </c>
    </row>
    <row r="186" spans="1:9">
      <c r="A186" s="166" t="s">
        <v>304</v>
      </c>
      <c r="B186" t="s">
        <v>305</v>
      </c>
      <c r="C186" s="1" t="s">
        <v>306</v>
      </c>
      <c r="D186" s="22">
        <f>D143+D145+D161+D171+D173</f>
        <v>1701.5475263668236</v>
      </c>
      <c r="E186" t="s">
        <v>14</v>
      </c>
      <c r="H186" t="s">
        <v>200</v>
      </c>
      <c r="I186" t="s">
        <v>16</v>
      </c>
    </row>
    <row r="187" spans="1:9">
      <c r="A187" s="166"/>
      <c r="B187" t="s">
        <v>307</v>
      </c>
      <c r="C187" s="1" t="s">
        <v>308</v>
      </c>
      <c r="D187" s="22">
        <f>D177+D178+D179</f>
        <v>1164.3436759824785</v>
      </c>
      <c r="E187" t="s">
        <v>14</v>
      </c>
      <c r="H187" t="s">
        <v>200</v>
      </c>
      <c r="I187" t="s">
        <v>16</v>
      </c>
    </row>
    <row r="188" spans="1:9">
      <c r="A188" s="166" t="s">
        <v>309</v>
      </c>
      <c r="B188" t="s">
        <v>310</v>
      </c>
      <c r="C188" s="1" t="s">
        <v>308</v>
      </c>
      <c r="D188" s="22">
        <f>D185-D186-D187</f>
        <v>3655.0019329448164</v>
      </c>
      <c r="E188" t="s">
        <v>14</v>
      </c>
      <c r="H188" t="s">
        <v>200</v>
      </c>
      <c r="I188" t="s">
        <v>16</v>
      </c>
    </row>
  </sheetData>
  <mergeCells count="8">
    <mergeCell ref="B54:E54"/>
    <mergeCell ref="B55:E55"/>
    <mergeCell ref="B48:E48"/>
    <mergeCell ref="B49:E49"/>
    <mergeCell ref="B50:E50"/>
    <mergeCell ref="B51:E51"/>
    <mergeCell ref="B52:E52"/>
    <mergeCell ref="B53:E53"/>
  </mergeCells>
  <hyperlinks>
    <hyperlink ref="D17" r:id="rId1" xr:uid="{AEFCF581-E076-4DF7-8B21-063589F6622E}"/>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203DCB5-3141-4896-A3A9-48D415E68763}">
          <x14:formula1>
            <xm:f>'AMS I.C. MF Dropdown Items'!$A$2:$A$4</xm:f>
          </x14:formula1>
          <xm:sqref>D29:D30 D175:D176 D57 D59:D63 D111:D114 D32:D35 D147:D148 D163 D37:D45 D140:D141</xm:sqref>
        </x14:dataValidation>
        <x14:dataValidation type="list" allowBlank="1" showInputMessage="1" showErrorMessage="1" xr:uid="{9E4280A1-E7F2-4AAB-A6A6-262F2A1AF825}">
          <x14:formula1>
            <xm:f>'AMS I.C. MF Dropdown Items'!$B$2:$B$5</xm:f>
          </x14:formula1>
          <xm:sqref>D31</xm:sqref>
        </x14:dataValidation>
        <x14:dataValidation type="list" allowBlank="1" showInputMessage="1" showErrorMessage="1" xr:uid="{540DFE45-19FF-41C6-B735-074D87B57DE1}">
          <x14:formula1>
            <xm:f>'AMS I.C. MF Dropdown Items'!$C$2:$C$11</xm:f>
          </x14:formula1>
          <xm:sqref>D58:D63 D111:D114 D33:D34 D147:D148 D163 D175:D176 D140:D141</xm:sqref>
        </x14:dataValidation>
        <x14:dataValidation type="list" allowBlank="1" showInputMessage="1" showErrorMessage="1" xr:uid="{65245CE2-7BCA-4FB7-A5F4-643FEA62E709}">
          <x14:formula1>
            <xm:f>'AMS I.C. MF Dropdown Items'!$D$2:$D$3</xm:f>
          </x14:formula1>
          <xm:sqref>D164</xm:sqref>
        </x14:dataValidation>
        <x14:dataValidation type="list" allowBlank="1" showInputMessage="1" showErrorMessage="1" xr:uid="{1B856ED6-07CD-422E-A487-8E646C470C06}">
          <x14:formula1>
            <xm:f>'AMS I.C. MF Dropdown Items'!$E$2:$E$4</xm:f>
          </x14:formula1>
          <xm:sqref>D7</xm:sqref>
        </x14:dataValidation>
        <x14:dataValidation type="list" allowBlank="1" showInputMessage="1" showErrorMessage="1" xr:uid="{5407C513-94D5-48CC-BB5A-1E1993BF29A1}">
          <x14:formula1>
            <xm:f>'IWA Properties'!$A$2:$A$277</xm:f>
          </x14:formula1>
          <xm:sqref>A3:A27 A185:A188</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D3B0A-94C6-49AE-8722-B902C9AA7C34}">
  <dimension ref="A1:H47"/>
  <sheetViews>
    <sheetView zoomScaleNormal="100" workbookViewId="0">
      <pane ySplit="1" topLeftCell="A46" activePane="bottomLeft" state="frozen"/>
      <selection pane="bottomLeft" activeCell="G16" sqref="G16"/>
      <selection activeCell="O15" sqref="O15"/>
    </sheetView>
  </sheetViews>
  <sheetFormatPr defaultRowHeight="15"/>
  <cols>
    <col min="1" max="1" width="11.85546875" customWidth="1"/>
    <col min="2" max="2" width="12.5703125" customWidth="1"/>
    <col min="3" max="3" width="13.5703125" customWidth="1"/>
    <col min="4" max="4" width="17" customWidth="1"/>
    <col min="5" max="5" width="21.7109375" customWidth="1"/>
    <col min="6" max="6" width="51" customWidth="1"/>
    <col min="7" max="7" width="49.42578125" customWidth="1"/>
    <col min="8" max="8" width="94.5703125" customWidth="1"/>
  </cols>
  <sheetData>
    <row r="1" spans="1:8" ht="39.75" customHeight="1">
      <c r="A1" s="29" t="s">
        <v>360</v>
      </c>
      <c r="B1" s="29" t="s">
        <v>9</v>
      </c>
      <c r="C1" s="30" t="s">
        <v>361</v>
      </c>
      <c r="D1" s="29" t="s">
        <v>7</v>
      </c>
      <c r="E1" s="29" t="s">
        <v>1</v>
      </c>
      <c r="F1" s="31" t="s">
        <v>362</v>
      </c>
      <c r="G1" s="31" t="s">
        <v>363</v>
      </c>
      <c r="H1" s="30" t="s">
        <v>364</v>
      </c>
    </row>
    <row r="2" spans="1:8" ht="30" customHeight="1">
      <c r="A2" s="187" t="s">
        <v>581</v>
      </c>
      <c r="B2" s="187"/>
      <c r="C2" s="187"/>
      <c r="D2" s="187"/>
      <c r="E2" s="187"/>
      <c r="F2" s="187"/>
      <c r="G2" s="187"/>
      <c r="H2" s="187"/>
    </row>
    <row r="3" spans="1:8" ht="33" customHeight="1">
      <c r="A3" s="189" t="s">
        <v>582</v>
      </c>
      <c r="B3" s="189"/>
      <c r="C3" s="189"/>
      <c r="D3" s="189"/>
      <c r="E3" s="189"/>
      <c r="F3" s="189"/>
      <c r="G3" s="189"/>
      <c r="H3" s="189"/>
    </row>
    <row r="4" spans="1:8" s="51" customFormat="1" ht="204.75">
      <c r="A4" s="55" t="s">
        <v>14</v>
      </c>
      <c r="B4" s="55"/>
      <c r="C4" s="55" t="s">
        <v>16</v>
      </c>
      <c r="D4" s="55" t="s">
        <v>429</v>
      </c>
      <c r="E4" s="55"/>
      <c r="F4" s="54" t="s">
        <v>583</v>
      </c>
      <c r="G4" s="54" t="s">
        <v>584</v>
      </c>
      <c r="H4" s="53" t="s">
        <v>585</v>
      </c>
    </row>
    <row r="5" spans="1:8" ht="30.75" customHeight="1">
      <c r="A5" s="190" t="s">
        <v>586</v>
      </c>
      <c r="B5" s="190"/>
      <c r="C5" s="190"/>
      <c r="D5" s="190"/>
      <c r="E5" s="190"/>
      <c r="F5" s="190"/>
      <c r="G5" s="190"/>
      <c r="H5" s="190"/>
    </row>
    <row r="6" spans="1:8" ht="26.25">
      <c r="A6" s="52" t="s">
        <v>16</v>
      </c>
      <c r="B6" s="52"/>
      <c r="C6" s="52" t="s">
        <v>16</v>
      </c>
      <c r="D6" s="52" t="s">
        <v>390</v>
      </c>
      <c r="E6" s="39" t="s">
        <v>587</v>
      </c>
      <c r="F6" s="5" t="s">
        <v>588</v>
      </c>
      <c r="G6" s="34">
        <f>SUM(G8*G7*(1+G9))</f>
        <v>0.73499999999999999</v>
      </c>
      <c r="H6" s="34"/>
    </row>
    <row r="7" spans="1:8" ht="26.25">
      <c r="A7" s="52" t="s">
        <v>16</v>
      </c>
      <c r="B7" s="52"/>
      <c r="C7" s="52" t="s">
        <v>16</v>
      </c>
      <c r="D7" s="52" t="s">
        <v>390</v>
      </c>
      <c r="E7" s="39" t="s">
        <v>589</v>
      </c>
      <c r="F7" s="5" t="s">
        <v>590</v>
      </c>
      <c r="G7" s="34">
        <f>G32</f>
        <v>0.25</v>
      </c>
      <c r="H7" s="5" t="s">
        <v>591</v>
      </c>
    </row>
    <row r="8" spans="1:8" ht="30">
      <c r="A8" s="51" t="s">
        <v>14</v>
      </c>
      <c r="B8" s="51"/>
      <c r="C8" s="51" t="s">
        <v>14</v>
      </c>
      <c r="D8" s="51" t="s">
        <v>91</v>
      </c>
      <c r="E8" s="40" t="s">
        <v>592</v>
      </c>
      <c r="F8" s="1" t="s">
        <v>593</v>
      </c>
      <c r="G8" s="41">
        <v>2.8</v>
      </c>
    </row>
    <row r="9" spans="1:8" ht="30">
      <c r="A9" s="51" t="s">
        <v>14</v>
      </c>
      <c r="B9" s="51"/>
      <c r="C9" s="51" t="s">
        <v>14</v>
      </c>
      <c r="D9" s="51" t="s">
        <v>91</v>
      </c>
      <c r="E9" s="40" t="s">
        <v>594</v>
      </c>
      <c r="F9" s="1" t="s">
        <v>595</v>
      </c>
      <c r="G9" s="41">
        <v>0.05</v>
      </c>
    </row>
    <row r="10" spans="1:8" ht="21" customHeight="1">
      <c r="A10" s="51" t="s">
        <v>14</v>
      </c>
      <c r="B10" s="51"/>
      <c r="C10" s="51" t="s">
        <v>14</v>
      </c>
      <c r="D10" s="51" t="s">
        <v>15</v>
      </c>
      <c r="E10" s="50" t="s">
        <v>542</v>
      </c>
      <c r="F10" t="s">
        <v>596</v>
      </c>
      <c r="G10" s="41">
        <v>0</v>
      </c>
    </row>
    <row r="11" spans="1:8" ht="26.25">
      <c r="A11" s="52" t="s">
        <v>16</v>
      </c>
      <c r="B11" s="52"/>
      <c r="C11" s="52" t="s">
        <v>16</v>
      </c>
      <c r="D11" s="52" t="s">
        <v>390</v>
      </c>
      <c r="E11" s="39" t="s">
        <v>597</v>
      </c>
      <c r="F11" s="5" t="s">
        <v>598</v>
      </c>
      <c r="G11" s="34">
        <f>SUM(G13*G12*(1+G14))</f>
        <v>1.1287499999999999</v>
      </c>
      <c r="H11" s="34"/>
    </row>
    <row r="12" spans="1:8" ht="26.25">
      <c r="A12" s="52" t="s">
        <v>16</v>
      </c>
      <c r="B12" s="52"/>
      <c r="C12" s="52" t="s">
        <v>16</v>
      </c>
      <c r="D12" s="52" t="s">
        <v>390</v>
      </c>
      <c r="E12" s="39" t="s">
        <v>599</v>
      </c>
      <c r="F12" s="5" t="s">
        <v>600</v>
      </c>
      <c r="G12" s="34">
        <f>G32</f>
        <v>0.25</v>
      </c>
      <c r="H12" s="5" t="s">
        <v>591</v>
      </c>
    </row>
    <row r="13" spans="1:8" ht="30">
      <c r="A13" s="51" t="s">
        <v>14</v>
      </c>
      <c r="B13" s="51"/>
      <c r="C13" s="51" t="s">
        <v>14</v>
      </c>
      <c r="D13" s="51" t="s">
        <v>91</v>
      </c>
      <c r="E13" s="40" t="s">
        <v>601</v>
      </c>
      <c r="F13" s="1" t="s">
        <v>602</v>
      </c>
      <c r="G13" s="41">
        <v>4.3</v>
      </c>
    </row>
    <row r="14" spans="1:8" ht="30">
      <c r="A14" s="51" t="s">
        <v>14</v>
      </c>
      <c r="B14" s="51"/>
      <c r="C14" s="51" t="s">
        <v>14</v>
      </c>
      <c r="D14" s="51" t="s">
        <v>91</v>
      </c>
      <c r="E14" s="40" t="s">
        <v>603</v>
      </c>
      <c r="F14" s="1" t="s">
        <v>604</v>
      </c>
      <c r="G14" s="41">
        <v>0.05</v>
      </c>
    </row>
    <row r="15" spans="1:8" ht="30" customHeight="1">
      <c r="A15" s="51" t="s">
        <v>14</v>
      </c>
      <c r="B15" s="51"/>
      <c r="C15" s="51" t="s">
        <v>14</v>
      </c>
      <c r="D15" s="51" t="s">
        <v>15</v>
      </c>
      <c r="E15" s="50" t="s">
        <v>539</v>
      </c>
      <c r="F15" t="s">
        <v>605</v>
      </c>
      <c r="G15" s="41">
        <v>0</v>
      </c>
    </row>
    <row r="16" spans="1:8" ht="26.25">
      <c r="A16" s="52" t="s">
        <v>16</v>
      </c>
      <c r="B16" s="52"/>
      <c r="C16" s="52" t="s">
        <v>16</v>
      </c>
      <c r="D16" s="52" t="s">
        <v>390</v>
      </c>
      <c r="E16" s="39" t="s">
        <v>606</v>
      </c>
      <c r="F16" s="5" t="s">
        <v>607</v>
      </c>
      <c r="G16" s="34">
        <f>SUM(G18*G17*(1+G19))</f>
        <v>0.39375000000000004</v>
      </c>
      <c r="H16" s="34"/>
    </row>
    <row r="17" spans="1:8" ht="26.25">
      <c r="A17" s="52" t="s">
        <v>16</v>
      </c>
      <c r="B17" s="52"/>
      <c r="C17" s="52" t="s">
        <v>16</v>
      </c>
      <c r="D17" s="52" t="s">
        <v>390</v>
      </c>
      <c r="E17" s="39" t="s">
        <v>608</v>
      </c>
      <c r="F17" s="5" t="s">
        <v>609</v>
      </c>
      <c r="G17" s="34">
        <f>G32</f>
        <v>0.25</v>
      </c>
      <c r="H17" s="5" t="s">
        <v>591</v>
      </c>
    </row>
    <row r="18" spans="1:8" ht="26.25">
      <c r="A18" s="51" t="s">
        <v>14</v>
      </c>
      <c r="B18" s="51"/>
      <c r="C18" s="51" t="s">
        <v>14</v>
      </c>
      <c r="D18" s="51" t="s">
        <v>91</v>
      </c>
      <c r="E18" s="40" t="s">
        <v>610</v>
      </c>
      <c r="F18" s="1" t="s">
        <v>611</v>
      </c>
      <c r="G18" s="41">
        <v>1.5</v>
      </c>
    </row>
    <row r="19" spans="1:8" ht="30">
      <c r="A19" s="51" t="s">
        <v>14</v>
      </c>
      <c r="B19" s="51"/>
      <c r="C19" s="51" t="s">
        <v>14</v>
      </c>
      <c r="D19" s="51" t="s">
        <v>91</v>
      </c>
      <c r="E19" s="40" t="s">
        <v>612</v>
      </c>
      <c r="F19" s="1" t="s">
        <v>613</v>
      </c>
      <c r="G19" s="41">
        <v>0.05</v>
      </c>
    </row>
    <row r="20" spans="1:8" ht="24" customHeight="1">
      <c r="A20" s="51" t="s">
        <v>14</v>
      </c>
      <c r="B20" s="51"/>
      <c r="C20" s="51" t="s">
        <v>14</v>
      </c>
      <c r="D20" s="51" t="s">
        <v>15</v>
      </c>
      <c r="E20" s="50" t="s">
        <v>614</v>
      </c>
      <c r="F20" t="s">
        <v>615</v>
      </c>
      <c r="G20" s="41">
        <v>0</v>
      </c>
    </row>
    <row r="21" spans="1:8" ht="36" customHeight="1">
      <c r="A21" s="191" t="s">
        <v>616</v>
      </c>
      <c r="B21" s="191"/>
      <c r="C21" s="191"/>
      <c r="D21" s="191"/>
      <c r="E21" s="191"/>
      <c r="F21" s="191"/>
      <c r="G21" s="191"/>
      <c r="H21" s="191"/>
    </row>
    <row r="22" spans="1:8" ht="28.5" customHeight="1">
      <c r="A22" s="22" t="s">
        <v>16</v>
      </c>
      <c r="B22" s="22"/>
      <c r="C22" s="22" t="s">
        <v>16</v>
      </c>
      <c r="D22" s="22" t="s">
        <v>390</v>
      </c>
      <c r="E22" s="39" t="s">
        <v>617</v>
      </c>
      <c r="F22" s="5" t="s">
        <v>618</v>
      </c>
      <c r="G22" s="34">
        <f>11400*1.3*G24</f>
        <v>0</v>
      </c>
      <c r="H22" s="34"/>
    </row>
    <row r="23" spans="1:8" ht="28.5" customHeight="1">
      <c r="A23" s="22" t="s">
        <v>16</v>
      </c>
      <c r="B23" s="22"/>
      <c r="C23" s="22" t="s">
        <v>16</v>
      </c>
      <c r="D23" s="22" t="s">
        <v>390</v>
      </c>
      <c r="E23" s="39" t="s">
        <v>619</v>
      </c>
      <c r="F23" s="5" t="s">
        <v>620</v>
      </c>
      <c r="G23" s="34">
        <f>11400*1.3*G26</f>
        <v>0</v>
      </c>
      <c r="H23" s="34"/>
    </row>
    <row r="24" spans="1:8" ht="30">
      <c r="A24" t="s">
        <v>16</v>
      </c>
      <c r="C24" t="s">
        <v>14</v>
      </c>
      <c r="D24" t="s">
        <v>91</v>
      </c>
      <c r="E24" s="40" t="s">
        <v>621</v>
      </c>
      <c r="F24" s="1" t="s">
        <v>622</v>
      </c>
    </row>
    <row r="25" spans="1:8" ht="30">
      <c r="A25" t="s">
        <v>14</v>
      </c>
      <c r="C25" t="s">
        <v>14</v>
      </c>
      <c r="D25" t="s">
        <v>15</v>
      </c>
      <c r="E25" s="40" t="s">
        <v>542</v>
      </c>
      <c r="F25" s="1" t="s">
        <v>623</v>
      </c>
    </row>
    <row r="26" spans="1:8" ht="30">
      <c r="A26" t="s">
        <v>16</v>
      </c>
      <c r="C26" t="s">
        <v>14</v>
      </c>
      <c r="D26" t="s">
        <v>91</v>
      </c>
      <c r="E26" s="40" t="s">
        <v>624</v>
      </c>
      <c r="F26" s="1" t="s">
        <v>625</v>
      </c>
    </row>
    <row r="27" spans="1:8" ht="30">
      <c r="A27" t="s">
        <v>14</v>
      </c>
      <c r="C27" t="s">
        <v>14</v>
      </c>
      <c r="D27" t="s">
        <v>15</v>
      </c>
      <c r="E27" s="40" t="s">
        <v>614</v>
      </c>
      <c r="F27" s="1" t="s">
        <v>626</v>
      </c>
    </row>
    <row r="28" spans="1:8" ht="21">
      <c r="A28" s="189" t="s">
        <v>627</v>
      </c>
      <c r="B28" s="189"/>
      <c r="C28" s="189"/>
      <c r="D28" s="189"/>
      <c r="E28" s="189"/>
      <c r="F28" s="189"/>
      <c r="G28" s="189"/>
      <c r="H28" s="189"/>
    </row>
    <row r="29" spans="1:8" ht="92.25" customHeight="1">
      <c r="A29" s="25" t="s">
        <v>14</v>
      </c>
      <c r="B29" s="25"/>
      <c r="C29" s="25" t="s">
        <v>16</v>
      </c>
      <c r="D29" s="25" t="s">
        <v>429</v>
      </c>
      <c r="E29" s="26" t="s">
        <v>628</v>
      </c>
      <c r="F29" s="47" t="s">
        <v>629</v>
      </c>
      <c r="G29" s="25" t="s">
        <v>630</v>
      </c>
      <c r="H29" s="26" t="s">
        <v>631</v>
      </c>
    </row>
    <row r="30" spans="1:8" ht="102" customHeight="1">
      <c r="A30" s="25" t="s">
        <v>14</v>
      </c>
      <c r="B30" s="25"/>
      <c r="C30" s="25" t="s">
        <v>16</v>
      </c>
      <c r="D30" s="25" t="s">
        <v>429</v>
      </c>
      <c r="E30" s="46" t="s">
        <v>632</v>
      </c>
      <c r="F30" s="47" t="s">
        <v>633</v>
      </c>
      <c r="G30" s="46" t="s">
        <v>634</v>
      </c>
      <c r="H30" s="37"/>
    </row>
    <row r="31" spans="1:8" ht="68.25" customHeight="1">
      <c r="A31" s="25" t="s">
        <v>14</v>
      </c>
      <c r="B31" s="25"/>
      <c r="C31" s="25" t="s">
        <v>16</v>
      </c>
      <c r="D31" s="25" t="s">
        <v>429</v>
      </c>
      <c r="E31" s="46" t="s">
        <v>635</v>
      </c>
      <c r="F31" s="47" t="s">
        <v>636</v>
      </c>
      <c r="G31" s="46" t="s">
        <v>16</v>
      </c>
      <c r="H31" s="37" t="s">
        <v>637</v>
      </c>
    </row>
    <row r="32" spans="1:8" ht="70.5" customHeight="1">
      <c r="A32" s="22" t="s">
        <v>16</v>
      </c>
      <c r="B32" s="22"/>
      <c r="C32" s="22" t="s">
        <v>16</v>
      </c>
      <c r="D32" s="22" t="s">
        <v>390</v>
      </c>
      <c r="E32" s="48" t="s">
        <v>638</v>
      </c>
      <c r="F32" s="5" t="s">
        <v>639</v>
      </c>
      <c r="G32" s="34">
        <v>0.25</v>
      </c>
      <c r="H32" s="33" t="s">
        <v>640</v>
      </c>
    </row>
    <row r="33" spans="1:8" ht="31.5" customHeight="1">
      <c r="A33" s="188" t="s">
        <v>641</v>
      </c>
      <c r="B33" s="188"/>
      <c r="C33" s="188"/>
      <c r="D33" s="188"/>
      <c r="E33" s="188"/>
      <c r="F33" s="188"/>
      <c r="G33" s="188"/>
      <c r="H33" s="188"/>
    </row>
    <row r="34" spans="1:8" ht="105">
      <c r="A34" s="25" t="s">
        <v>14</v>
      </c>
      <c r="B34" s="25"/>
      <c r="C34" s="25" t="s">
        <v>16</v>
      </c>
      <c r="D34" s="25" t="s">
        <v>429</v>
      </c>
      <c r="E34" s="47" t="s">
        <v>642</v>
      </c>
      <c r="F34" s="47" t="s">
        <v>643</v>
      </c>
      <c r="G34" s="47" t="s">
        <v>644</v>
      </c>
      <c r="H34" s="47" t="s">
        <v>645</v>
      </c>
    </row>
    <row r="35" spans="1:8" ht="45">
      <c r="A35" s="25" t="s">
        <v>14</v>
      </c>
      <c r="B35" s="25"/>
      <c r="C35" s="25" t="s">
        <v>16</v>
      </c>
      <c r="D35" s="25" t="s">
        <v>429</v>
      </c>
      <c r="E35" s="47" t="s">
        <v>646</v>
      </c>
      <c r="F35" s="47" t="s">
        <v>647</v>
      </c>
      <c r="G35" s="46" t="s">
        <v>648</v>
      </c>
      <c r="H35" s="47" t="s">
        <v>649</v>
      </c>
    </row>
    <row r="36" spans="1:8" ht="90">
      <c r="A36" s="25" t="s">
        <v>14</v>
      </c>
      <c r="B36" s="25"/>
      <c r="C36" s="25" t="s">
        <v>16</v>
      </c>
      <c r="D36" s="25" t="s">
        <v>429</v>
      </c>
      <c r="E36" s="47" t="s">
        <v>650</v>
      </c>
      <c r="F36" s="47" t="s">
        <v>651</v>
      </c>
      <c r="G36" s="47" t="s">
        <v>652</v>
      </c>
      <c r="H36" s="37" t="s">
        <v>653</v>
      </c>
    </row>
    <row r="37" spans="1:8" ht="63" customHeight="1">
      <c r="A37" s="22" t="s">
        <v>16</v>
      </c>
      <c r="B37" s="22"/>
      <c r="C37" s="22" t="s">
        <v>16</v>
      </c>
      <c r="D37" s="22" t="s">
        <v>390</v>
      </c>
      <c r="E37" s="48" t="s">
        <v>638</v>
      </c>
      <c r="F37" s="5" t="s">
        <v>654</v>
      </c>
      <c r="G37" s="34">
        <f>'Tool 05.2 Power Plants'!G3</f>
        <v>1.7670440000000003</v>
      </c>
      <c r="H37" s="34" t="s">
        <v>655</v>
      </c>
    </row>
    <row r="38" spans="1:8" ht="49.5" customHeight="1">
      <c r="A38" s="22" t="s">
        <v>16</v>
      </c>
      <c r="B38" s="22"/>
      <c r="C38" s="22" t="s">
        <v>16</v>
      </c>
      <c r="D38" s="22" t="s">
        <v>390</v>
      </c>
      <c r="E38" s="48" t="s">
        <v>638</v>
      </c>
      <c r="F38" s="5" t="s">
        <v>656</v>
      </c>
      <c r="G38" s="34">
        <f>'Tool 05.2 Power Plants'!G4</f>
        <v>1.7253240000000001</v>
      </c>
      <c r="H38" s="49" t="s">
        <v>657</v>
      </c>
    </row>
    <row r="39" spans="1:8" ht="21">
      <c r="A39" s="188" t="s">
        <v>658</v>
      </c>
      <c r="B39" s="188"/>
      <c r="C39" s="188"/>
      <c r="D39" s="188"/>
      <c r="E39" s="188"/>
      <c r="F39" s="188"/>
      <c r="G39" s="188"/>
      <c r="H39" s="188"/>
    </row>
    <row r="40" spans="1:8" ht="90">
      <c r="A40" s="25" t="s">
        <v>14</v>
      </c>
      <c r="B40" s="25"/>
      <c r="C40" s="25" t="s">
        <v>16</v>
      </c>
      <c r="D40" s="25" t="s">
        <v>429</v>
      </c>
      <c r="E40" s="47" t="s">
        <v>659</v>
      </c>
      <c r="F40" s="47" t="s">
        <v>660</v>
      </c>
      <c r="G40" s="46" t="s">
        <v>347</v>
      </c>
      <c r="H40" s="37" t="s">
        <v>661</v>
      </c>
    </row>
    <row r="41" spans="1:8" ht="45" customHeight="1">
      <c r="A41" s="22" t="s">
        <v>16</v>
      </c>
      <c r="B41" s="22"/>
      <c r="C41" s="22" t="s">
        <v>16</v>
      </c>
      <c r="D41" s="22" t="s">
        <v>390</v>
      </c>
      <c r="E41" s="48" t="s">
        <v>638</v>
      </c>
      <c r="F41" s="5" t="s">
        <v>639</v>
      </c>
      <c r="G41" s="34">
        <v>1.3</v>
      </c>
      <c r="H41" s="34" t="s">
        <v>662</v>
      </c>
    </row>
    <row r="42" spans="1:8" ht="34.5" customHeight="1">
      <c r="A42" s="22" t="s">
        <v>16</v>
      </c>
      <c r="B42" s="22"/>
      <c r="C42" s="22" t="s">
        <v>16</v>
      </c>
      <c r="D42" s="22" t="s">
        <v>390</v>
      </c>
      <c r="E42" s="48" t="s">
        <v>638</v>
      </c>
      <c r="F42" s="5" t="s">
        <v>663</v>
      </c>
      <c r="G42" s="34">
        <v>0.4</v>
      </c>
      <c r="H42" s="34" t="s">
        <v>664</v>
      </c>
    </row>
    <row r="43" spans="1:8" ht="21">
      <c r="A43" s="188" t="s">
        <v>665</v>
      </c>
      <c r="B43" s="188"/>
      <c r="C43" s="188"/>
      <c r="D43" s="188"/>
      <c r="E43" s="188"/>
      <c r="F43" s="188"/>
      <c r="G43" s="188"/>
      <c r="H43" s="188"/>
    </row>
    <row r="44" spans="1:8" ht="225">
      <c r="A44" s="25" t="s">
        <v>14</v>
      </c>
      <c r="B44" s="25"/>
      <c r="C44" s="25" t="s">
        <v>16</v>
      </c>
      <c r="D44" s="25" t="s">
        <v>429</v>
      </c>
      <c r="E44" s="25"/>
      <c r="F44" s="47" t="s">
        <v>666</v>
      </c>
      <c r="G44" s="46" t="s">
        <v>667</v>
      </c>
      <c r="H44" s="26"/>
    </row>
    <row r="45" spans="1:8">
      <c r="A45" s="25" t="s">
        <v>14</v>
      </c>
      <c r="B45" s="25"/>
      <c r="C45" s="25" t="s">
        <v>16</v>
      </c>
      <c r="D45" s="25" t="s">
        <v>668</v>
      </c>
      <c r="E45" s="25"/>
      <c r="F45" s="26" t="s">
        <v>669</v>
      </c>
      <c r="G45" s="26" t="s">
        <v>670</v>
      </c>
      <c r="H45" s="26"/>
    </row>
    <row r="46" spans="1:8" ht="36.75" customHeight="1">
      <c r="A46" s="25" t="s">
        <v>14</v>
      </c>
      <c r="B46" s="25"/>
      <c r="C46" s="25" t="s">
        <v>16</v>
      </c>
      <c r="D46" s="25" t="s">
        <v>668</v>
      </c>
      <c r="E46" s="25"/>
      <c r="F46" s="26" t="s">
        <v>671</v>
      </c>
      <c r="G46" s="26" t="s">
        <v>672</v>
      </c>
      <c r="H46" s="26"/>
    </row>
    <row r="47" spans="1:8" ht="60">
      <c r="A47" s="25" t="s">
        <v>14</v>
      </c>
      <c r="B47" s="25"/>
      <c r="C47" s="25" t="s">
        <v>16</v>
      </c>
      <c r="D47" s="25" t="s">
        <v>668</v>
      </c>
      <c r="E47" s="25"/>
      <c r="F47" s="26" t="s">
        <v>673</v>
      </c>
      <c r="G47" s="26" t="s">
        <v>674</v>
      </c>
      <c r="H47" s="26" t="s">
        <v>675</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29" xr:uid="{22D83C57-196A-4C8D-B6FC-43917B772EEE}">
      <formula1>"Option A1,Option A2"</formula1>
    </dataValidation>
    <dataValidation type="list" allowBlank="1" showInputMessage="1" showErrorMessage="1" sqref="G30" xr:uid="{7937F4F8-7CC3-42C1-8FA5-BED63EA96082}">
      <formula1>"Option 2.1,Option 2.2"</formula1>
    </dataValidation>
    <dataValidation type="list" allowBlank="1" showInputMessage="1" showErrorMessage="1" sqref="G31" xr:uid="{C495FD4B-B18A-4A9D-B626-B37DBBB38DFF}">
      <formula1>"Yes,No"</formula1>
    </dataValidation>
    <dataValidation type="list" allowBlank="1" showInputMessage="1" showErrorMessage="1" sqref="G4" xr:uid="{8069D297-9D48-4CEF-BB32-3F042E71A804}">
      <formula1>"A: From the Grid,B: Off-Grid Captive Power Plants,C: From the Grid and Captive Power Plant"</formula1>
    </dataValidation>
    <dataValidation type="list" allowBlank="1" showInputMessage="1" showErrorMessage="1" sqref="G34" xr:uid="{24D18E7F-3612-44D8-85F0-EE58C4D5737E}">
      <formula1>"Yes: Alternative Approach, No: Generic Approach"</formula1>
    </dataValidation>
    <dataValidation type="list" allowBlank="1" showInputMessage="1" showErrorMessage="1" sqref="G35" xr:uid="{776DD144-D232-4206-B87C-94B243CDDBF6}">
      <formula1>"Monitored Data, Default Values"</formula1>
    </dataValidation>
    <dataValidation type="list" allowBlank="1" showInputMessage="1" showErrorMessage="1" sqref="G36" xr:uid="{CC4AE3E5-E388-4D49-878C-F7D1D112DBF8}">
      <formula1>"Heat Generation ignored,Fuel consumption between electricity and heat generation"</formula1>
    </dataValidation>
    <dataValidation type="list" allowBlank="1" showInputMessage="1" showErrorMessage="1" sqref="G40" xr:uid="{13AE50A2-A1B3-4988-8A33-C84018D2C166}">
      <formula1>"Option A,Option B"</formula1>
    </dataValidation>
    <dataValidation type="list" allowBlank="1" showInputMessage="1" showErrorMessage="1" sqref="G44" xr:uid="{AB20C069-0CAF-4E83-8F2F-5242EF47FBE8}">
      <formula1>"Case 1,Case 2, Case 3"</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46A34-E1CF-41DB-9F32-2E78937F259D}">
  <dimension ref="A1:H40"/>
  <sheetViews>
    <sheetView topLeftCell="B1" workbookViewId="0">
      <selection activeCell="F8" sqref="F8"/>
    </sheetView>
  </sheetViews>
  <sheetFormatPr defaultRowHeight="1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c r="A1" s="29" t="s">
        <v>360</v>
      </c>
      <c r="B1" s="29" t="s">
        <v>9</v>
      </c>
      <c r="C1" s="30" t="s">
        <v>361</v>
      </c>
      <c r="D1" s="29" t="s">
        <v>7</v>
      </c>
      <c r="E1" s="29" t="s">
        <v>1</v>
      </c>
      <c r="F1" s="30" t="s">
        <v>362</v>
      </c>
      <c r="G1" s="29" t="s">
        <v>363</v>
      </c>
      <c r="H1" s="29" t="s">
        <v>364</v>
      </c>
    </row>
    <row r="2" spans="1:8" ht="18.75">
      <c r="A2" s="192" t="s">
        <v>676</v>
      </c>
      <c r="B2" s="192"/>
      <c r="C2" s="192"/>
      <c r="D2" s="192"/>
      <c r="E2" s="192"/>
      <c r="F2" s="192"/>
      <c r="G2" s="192"/>
      <c r="H2" s="192"/>
    </row>
    <row r="3" spans="1:8" ht="30.75">
      <c r="A3" s="22" t="s">
        <v>16</v>
      </c>
      <c r="B3" s="22"/>
      <c r="C3" s="22" t="s">
        <v>16</v>
      </c>
      <c r="D3" s="22" t="s">
        <v>200</v>
      </c>
      <c r="E3" s="48" t="s">
        <v>638</v>
      </c>
      <c r="F3" s="5" t="s">
        <v>677</v>
      </c>
      <c r="G3" s="34">
        <f>G7+G19+G31</f>
        <v>1.7670440000000003</v>
      </c>
      <c r="H3" s="61" t="s">
        <v>678</v>
      </c>
    </row>
    <row r="4" spans="1:8" ht="30.75">
      <c r="A4" s="22" t="s">
        <v>16</v>
      </c>
      <c r="B4" s="22"/>
      <c r="C4" s="22" t="s">
        <v>16</v>
      </c>
      <c r="D4" s="22" t="s">
        <v>200</v>
      </c>
      <c r="E4" s="48" t="s">
        <v>638</v>
      </c>
      <c r="F4" s="5" t="s">
        <v>656</v>
      </c>
      <c r="G4" s="34">
        <f>G8+G20+G32</f>
        <v>1.7253240000000001</v>
      </c>
      <c r="H4" s="43" t="s">
        <v>679</v>
      </c>
    </row>
    <row r="5" spans="1:8" ht="18.75">
      <c r="A5" s="192" t="s">
        <v>680</v>
      </c>
      <c r="B5" s="192"/>
      <c r="C5" s="192"/>
      <c r="D5" s="192"/>
      <c r="E5" s="192"/>
      <c r="F5" s="192"/>
      <c r="G5" s="192"/>
      <c r="H5" s="192"/>
    </row>
    <row r="6" spans="1:8">
      <c r="A6" s="59" t="s">
        <v>14</v>
      </c>
      <c r="B6" s="59"/>
      <c r="C6" s="59" t="s">
        <v>14</v>
      </c>
      <c r="D6" s="59" t="s">
        <v>15</v>
      </c>
      <c r="E6" s="60"/>
      <c r="F6" s="59" t="s">
        <v>681</v>
      </c>
      <c r="G6" s="59" t="s">
        <v>682</v>
      </c>
    </row>
    <row r="7" spans="1:8" ht="30.75">
      <c r="A7" s="22" t="s">
        <v>16</v>
      </c>
      <c r="B7" s="22"/>
      <c r="C7" s="22" t="s">
        <v>16</v>
      </c>
      <c r="D7" s="22" t="s">
        <v>200</v>
      </c>
      <c r="E7" s="48" t="s">
        <v>638</v>
      </c>
      <c r="F7" s="5" t="s">
        <v>677</v>
      </c>
      <c r="G7" s="34">
        <f>(G12*G10*G11)/G13</f>
        <v>0.60550999999999999</v>
      </c>
      <c r="H7" s="22"/>
    </row>
    <row r="8" spans="1:8" ht="30.75">
      <c r="A8" s="22" t="s">
        <v>16</v>
      </c>
      <c r="B8" s="22"/>
      <c r="C8" s="22" t="s">
        <v>16</v>
      </c>
      <c r="D8" s="22" t="s">
        <v>200</v>
      </c>
      <c r="E8" s="48" t="s">
        <v>638</v>
      </c>
      <c r="F8" s="5" t="s">
        <v>656</v>
      </c>
      <c r="G8" s="34">
        <f>ABS(((G12*G10)-(G14/G15))*G11)/G13</f>
        <v>0.59040999999999999</v>
      </c>
      <c r="H8" s="22"/>
    </row>
    <row r="9" spans="1:8">
      <c r="A9" s="25" t="s">
        <v>14</v>
      </c>
      <c r="B9" s="25"/>
      <c r="C9" s="25" t="s">
        <v>16</v>
      </c>
      <c r="D9" s="25" t="s">
        <v>435</v>
      </c>
      <c r="E9" s="25"/>
      <c r="F9" s="26" t="s">
        <v>683</v>
      </c>
      <c r="G9" s="58" t="s">
        <v>684</v>
      </c>
      <c r="H9" s="25"/>
    </row>
    <row r="10" spans="1:8" ht="30">
      <c r="A10" s="22" t="s">
        <v>16</v>
      </c>
      <c r="B10" s="22"/>
      <c r="C10" s="22" t="s">
        <v>16</v>
      </c>
      <c r="D10" s="22" t="s">
        <v>200</v>
      </c>
      <c r="E10" s="57" t="s">
        <v>685</v>
      </c>
      <c r="F10" s="5" t="s">
        <v>686</v>
      </c>
      <c r="G10" s="34">
        <f>IF(G9="","",VLOOKUP(G9,'Tool 05.3 Default Values'!B4:D56,2,FALSE))</f>
        <v>40.1</v>
      </c>
      <c r="H10" s="5" t="s">
        <v>687</v>
      </c>
    </row>
    <row r="11" spans="1:8" ht="30">
      <c r="A11" s="22" t="s">
        <v>16</v>
      </c>
      <c r="B11" s="22"/>
      <c r="C11" s="22" t="s">
        <v>16</v>
      </c>
      <c r="D11" s="22" t="s">
        <v>200</v>
      </c>
      <c r="E11" s="57" t="s">
        <v>688</v>
      </c>
      <c r="F11" s="5" t="s">
        <v>689</v>
      </c>
      <c r="G11" s="34">
        <f>IF(G9="","",VLOOKUP(G9,'Tool 05.3 Default Values'!B4:D56,3,FALSE))*0.001</f>
        <v>75.5</v>
      </c>
      <c r="H11" s="5" t="s">
        <v>690</v>
      </c>
    </row>
    <row r="12" spans="1:8" ht="30">
      <c r="A12" t="s">
        <v>14</v>
      </c>
      <c r="C12" t="s">
        <v>14</v>
      </c>
      <c r="D12" t="s">
        <v>91</v>
      </c>
      <c r="E12" s="56" t="s">
        <v>691</v>
      </c>
      <c r="F12" s="1" t="s">
        <v>692</v>
      </c>
      <c r="G12" s="41">
        <v>2</v>
      </c>
    </row>
    <row r="13" spans="1:8" ht="30">
      <c r="A13" t="s">
        <v>14</v>
      </c>
      <c r="C13" t="s">
        <v>14</v>
      </c>
      <c r="D13" t="s">
        <v>91</v>
      </c>
      <c r="E13" s="56" t="s">
        <v>693</v>
      </c>
      <c r="F13" s="1" t="s">
        <v>694</v>
      </c>
      <c r="G13" s="41">
        <v>10000</v>
      </c>
    </row>
    <row r="14" spans="1:8" ht="60">
      <c r="A14" t="s">
        <v>14</v>
      </c>
      <c r="C14" t="s">
        <v>14</v>
      </c>
      <c r="D14" t="s">
        <v>91</v>
      </c>
      <c r="E14" s="56" t="s">
        <v>695</v>
      </c>
      <c r="F14" s="1" t="s">
        <v>696</v>
      </c>
      <c r="G14" s="41">
        <v>2</v>
      </c>
    </row>
    <row r="15" spans="1:8" ht="33">
      <c r="A15" s="22" t="s">
        <v>16</v>
      </c>
      <c r="B15" s="22"/>
      <c r="C15" s="22" t="s">
        <v>16</v>
      </c>
      <c r="D15" s="22" t="s">
        <v>200</v>
      </c>
      <c r="E15" s="42" t="s">
        <v>697</v>
      </c>
      <c r="F15" s="5" t="s">
        <v>698</v>
      </c>
      <c r="G15" s="34">
        <v>1</v>
      </c>
      <c r="H15" s="22" t="s">
        <v>699</v>
      </c>
    </row>
    <row r="16" spans="1:8" ht="33">
      <c r="A16" s="22" t="s">
        <v>16</v>
      </c>
      <c r="B16" s="22"/>
      <c r="C16" s="22" t="s">
        <v>16</v>
      </c>
      <c r="D16" s="22" t="s">
        <v>200</v>
      </c>
      <c r="E16" s="42" t="s">
        <v>697</v>
      </c>
      <c r="F16" s="5" t="s">
        <v>700</v>
      </c>
      <c r="G16" s="34">
        <v>0.6</v>
      </c>
      <c r="H16" s="22" t="s">
        <v>699</v>
      </c>
    </row>
    <row r="17" spans="1:8" ht="18.75">
      <c r="A17" s="192" t="s">
        <v>680</v>
      </c>
      <c r="B17" s="192"/>
      <c r="C17" s="192"/>
      <c r="D17" s="192"/>
      <c r="E17" s="192"/>
      <c r="F17" s="192"/>
      <c r="G17" s="192"/>
      <c r="H17" s="192"/>
    </row>
    <row r="18" spans="1:8">
      <c r="A18" s="59" t="s">
        <v>14</v>
      </c>
      <c r="B18" s="59"/>
      <c r="C18" s="59" t="s">
        <v>14</v>
      </c>
      <c r="D18" s="59" t="s">
        <v>15</v>
      </c>
      <c r="E18" s="60"/>
      <c r="F18" s="59" t="s">
        <v>681</v>
      </c>
      <c r="G18" s="59" t="s">
        <v>701</v>
      </c>
    </row>
    <row r="19" spans="1:8" ht="30.75">
      <c r="A19" s="22" t="s">
        <v>16</v>
      </c>
      <c r="B19" s="22"/>
      <c r="C19" s="22" t="s">
        <v>16</v>
      </c>
      <c r="D19" s="22" t="s">
        <v>200</v>
      </c>
      <c r="E19" s="48" t="s">
        <v>638</v>
      </c>
      <c r="F19" s="5" t="s">
        <v>677</v>
      </c>
      <c r="G19" s="34">
        <f>(G24*G22*G23)/G25</f>
        <v>0.61934400000000001</v>
      </c>
      <c r="H19" s="22"/>
    </row>
    <row r="20" spans="1:8" ht="30.75">
      <c r="A20" s="22" t="s">
        <v>16</v>
      </c>
      <c r="B20" s="22"/>
      <c r="C20" s="22" t="s">
        <v>16</v>
      </c>
      <c r="D20" s="22" t="s">
        <v>200</v>
      </c>
      <c r="E20" s="48" t="s">
        <v>638</v>
      </c>
      <c r="F20" s="5" t="s">
        <v>656</v>
      </c>
      <c r="G20" s="34">
        <f>ABS(((G24*G22)-(G26/G27))*G23)/G25</f>
        <v>0.60438399999999992</v>
      </c>
      <c r="H20" s="22"/>
    </row>
    <row r="21" spans="1:8">
      <c r="A21" s="25" t="s">
        <v>14</v>
      </c>
      <c r="B21" s="25"/>
      <c r="C21" s="25" t="s">
        <v>16</v>
      </c>
      <c r="D21" s="25" t="s">
        <v>435</v>
      </c>
      <c r="E21" s="25"/>
      <c r="F21" s="26" t="s">
        <v>683</v>
      </c>
      <c r="G21" s="58" t="s">
        <v>702</v>
      </c>
      <c r="H21" s="25"/>
    </row>
    <row r="22" spans="1:8" ht="30">
      <c r="A22" s="22" t="s">
        <v>16</v>
      </c>
      <c r="B22" s="22"/>
      <c r="C22" s="22" t="s">
        <v>16</v>
      </c>
      <c r="D22" s="22" t="s">
        <v>200</v>
      </c>
      <c r="E22" s="57" t="s">
        <v>685</v>
      </c>
      <c r="F22" s="5" t="s">
        <v>686</v>
      </c>
      <c r="G22" s="34">
        <f>IF(G21="","",VLOOKUP(G21,'Tool 05.3 Default Values'!B4:D56,2,FALSE))</f>
        <v>41.4</v>
      </c>
      <c r="H22" s="5" t="s">
        <v>687</v>
      </c>
    </row>
    <row r="23" spans="1:8" ht="30">
      <c r="A23" s="22" t="s">
        <v>16</v>
      </c>
      <c r="B23" s="22"/>
      <c r="C23" s="22" t="s">
        <v>16</v>
      </c>
      <c r="D23" s="22" t="s">
        <v>200</v>
      </c>
      <c r="E23" s="57" t="s">
        <v>688</v>
      </c>
      <c r="F23" s="5" t="s">
        <v>689</v>
      </c>
      <c r="G23" s="34">
        <f>IF(G21="","",VLOOKUP(G21,'Tool 05.3 Default Values'!B4:D56,3,FALSE))*0.001</f>
        <v>74.8</v>
      </c>
      <c r="H23" s="5" t="s">
        <v>690</v>
      </c>
    </row>
    <row r="24" spans="1:8" ht="30">
      <c r="A24" t="s">
        <v>14</v>
      </c>
      <c r="C24" t="s">
        <v>14</v>
      </c>
      <c r="D24" t="s">
        <v>91</v>
      </c>
      <c r="E24" s="56" t="s">
        <v>691</v>
      </c>
      <c r="F24" s="1" t="s">
        <v>692</v>
      </c>
      <c r="G24" s="41">
        <v>2</v>
      </c>
    </row>
    <row r="25" spans="1:8" ht="30">
      <c r="A25" t="s">
        <v>14</v>
      </c>
      <c r="C25" t="s">
        <v>14</v>
      </c>
      <c r="D25" t="s">
        <v>91</v>
      </c>
      <c r="E25" s="56" t="s">
        <v>693</v>
      </c>
      <c r="F25" s="1" t="s">
        <v>694</v>
      </c>
      <c r="G25" s="41">
        <v>10000</v>
      </c>
    </row>
    <row r="26" spans="1:8" ht="60">
      <c r="A26" t="s">
        <v>14</v>
      </c>
      <c r="C26" t="s">
        <v>14</v>
      </c>
      <c r="D26" t="s">
        <v>91</v>
      </c>
      <c r="E26" s="56" t="s">
        <v>695</v>
      </c>
      <c r="F26" s="1" t="s">
        <v>696</v>
      </c>
      <c r="G26" s="41">
        <v>2</v>
      </c>
    </row>
    <row r="27" spans="1:8" ht="33">
      <c r="A27" s="22" t="s">
        <v>16</v>
      </c>
      <c r="B27" s="22"/>
      <c r="C27" s="22" t="s">
        <v>16</v>
      </c>
      <c r="D27" s="22" t="s">
        <v>200</v>
      </c>
      <c r="E27" s="42" t="s">
        <v>697</v>
      </c>
      <c r="F27" s="5" t="s">
        <v>698</v>
      </c>
      <c r="G27" s="34">
        <v>1</v>
      </c>
      <c r="H27" s="22" t="s">
        <v>699</v>
      </c>
    </row>
    <row r="28" spans="1:8" ht="33">
      <c r="A28" s="22" t="s">
        <v>16</v>
      </c>
      <c r="B28" s="22"/>
      <c r="C28" s="22" t="s">
        <v>16</v>
      </c>
      <c r="D28" s="22" t="s">
        <v>200</v>
      </c>
      <c r="E28" s="42" t="s">
        <v>697</v>
      </c>
      <c r="F28" s="5" t="s">
        <v>700</v>
      </c>
      <c r="G28" s="34">
        <v>0.6</v>
      </c>
      <c r="H28" s="22" t="s">
        <v>699</v>
      </c>
    </row>
    <row r="29" spans="1:8" ht="18.75">
      <c r="A29" s="192" t="s">
        <v>680</v>
      </c>
      <c r="B29" s="192"/>
      <c r="C29" s="192"/>
      <c r="D29" s="192"/>
      <c r="E29" s="192"/>
      <c r="F29" s="192"/>
      <c r="G29" s="192"/>
      <c r="H29" s="192"/>
    </row>
    <row r="30" spans="1:8">
      <c r="A30" s="59" t="s">
        <v>14</v>
      </c>
      <c r="B30" s="59"/>
      <c r="C30" s="59" t="s">
        <v>14</v>
      </c>
      <c r="D30" s="59" t="s">
        <v>15</v>
      </c>
      <c r="E30" s="60"/>
      <c r="F30" s="59" t="s">
        <v>681</v>
      </c>
      <c r="G30" s="59" t="s">
        <v>703</v>
      </c>
    </row>
    <row r="31" spans="1:8" ht="30.75">
      <c r="A31" s="22" t="s">
        <v>16</v>
      </c>
      <c r="B31" s="22"/>
      <c r="C31" s="22" t="s">
        <v>16</v>
      </c>
      <c r="D31" s="22" t="s">
        <v>200</v>
      </c>
      <c r="E31" s="48" t="s">
        <v>638</v>
      </c>
      <c r="F31" s="5" t="s">
        <v>677</v>
      </c>
      <c r="G31" s="34">
        <f>(G36*G34*G35)/G37</f>
        <v>0.54219000000000006</v>
      </c>
      <c r="H31" s="22"/>
    </row>
    <row r="32" spans="1:8" ht="30.75">
      <c r="A32" s="22" t="s">
        <v>16</v>
      </c>
      <c r="B32" s="22"/>
      <c r="C32" s="22" t="s">
        <v>16</v>
      </c>
      <c r="D32" s="22" t="s">
        <v>200</v>
      </c>
      <c r="E32" s="48" t="s">
        <v>638</v>
      </c>
      <c r="F32" s="5" t="s">
        <v>656</v>
      </c>
      <c r="G32" s="34">
        <f>ABS(((G36*G34)-(G38/G39))*G35)/G37</f>
        <v>0.53053000000000006</v>
      </c>
      <c r="H32" s="22"/>
    </row>
    <row r="33" spans="1:8">
      <c r="A33" s="25" t="s">
        <v>14</v>
      </c>
      <c r="B33" s="25"/>
      <c r="C33" s="25" t="s">
        <v>16</v>
      </c>
      <c r="D33" s="25" t="s">
        <v>435</v>
      </c>
      <c r="E33" s="25"/>
      <c r="F33" s="26" t="s">
        <v>683</v>
      </c>
      <c r="G33" s="58" t="s">
        <v>704</v>
      </c>
      <c r="H33" s="25"/>
    </row>
    <row r="34" spans="1:8" ht="30">
      <c r="A34" s="22" t="s">
        <v>16</v>
      </c>
      <c r="B34" s="22"/>
      <c r="C34" s="22" t="s">
        <v>16</v>
      </c>
      <c r="D34" s="22" t="s">
        <v>200</v>
      </c>
      <c r="E34" s="57" t="s">
        <v>685</v>
      </c>
      <c r="F34" s="5" t="s">
        <v>686</v>
      </c>
      <c r="G34" s="34">
        <f>IF(G33="","",VLOOKUP(G33,'Tool 05.3 Default Values'!B4:D56,2,FALSE))</f>
        <v>46.5</v>
      </c>
      <c r="H34" s="5" t="s">
        <v>687</v>
      </c>
    </row>
    <row r="35" spans="1:8" ht="30">
      <c r="A35" s="22" t="s">
        <v>16</v>
      </c>
      <c r="B35" s="22"/>
      <c r="C35" s="22" t="s">
        <v>16</v>
      </c>
      <c r="D35" s="22" t="s">
        <v>200</v>
      </c>
      <c r="E35" s="57" t="s">
        <v>688</v>
      </c>
      <c r="F35" s="5" t="s">
        <v>689</v>
      </c>
      <c r="G35" s="34">
        <f>IF(G33="","",VLOOKUP(G33,'Tool 05.3 Default Values'!B4:D56,3,FALSE))*0.001</f>
        <v>58.300000000000004</v>
      </c>
      <c r="H35" s="5" t="s">
        <v>690</v>
      </c>
    </row>
    <row r="36" spans="1:8" ht="30">
      <c r="A36" t="s">
        <v>14</v>
      </c>
      <c r="C36" t="s">
        <v>14</v>
      </c>
      <c r="D36" t="s">
        <v>91</v>
      </c>
      <c r="E36" s="56" t="s">
        <v>691</v>
      </c>
      <c r="F36" s="1" t="s">
        <v>692</v>
      </c>
      <c r="G36" s="41">
        <v>2</v>
      </c>
    </row>
    <row r="37" spans="1:8" ht="30">
      <c r="A37" t="s">
        <v>14</v>
      </c>
      <c r="C37" t="s">
        <v>14</v>
      </c>
      <c r="D37" t="s">
        <v>91</v>
      </c>
      <c r="E37" s="56" t="s">
        <v>693</v>
      </c>
      <c r="F37" s="1" t="s">
        <v>694</v>
      </c>
      <c r="G37" s="41">
        <v>10000</v>
      </c>
    </row>
    <row r="38" spans="1:8" ht="60">
      <c r="A38" t="s">
        <v>14</v>
      </c>
      <c r="C38" t="s">
        <v>14</v>
      </c>
      <c r="D38" t="s">
        <v>91</v>
      </c>
      <c r="E38" s="56" t="s">
        <v>695</v>
      </c>
      <c r="F38" s="1" t="s">
        <v>696</v>
      </c>
      <c r="G38" s="41">
        <v>2</v>
      </c>
    </row>
    <row r="39" spans="1:8" ht="33">
      <c r="A39" s="22" t="s">
        <v>16</v>
      </c>
      <c r="B39" s="22"/>
      <c r="C39" s="22" t="s">
        <v>16</v>
      </c>
      <c r="D39" s="22" t="s">
        <v>200</v>
      </c>
      <c r="E39" s="42" t="s">
        <v>697</v>
      </c>
      <c r="F39" s="5" t="s">
        <v>698</v>
      </c>
      <c r="G39" s="34">
        <v>1</v>
      </c>
      <c r="H39" s="22" t="s">
        <v>699</v>
      </c>
    </row>
    <row r="40" spans="1:8" ht="33">
      <c r="A40" s="22" t="s">
        <v>16</v>
      </c>
      <c r="B40" s="22"/>
      <c r="C40" s="22" t="s">
        <v>16</v>
      </c>
      <c r="D40" s="22" t="s">
        <v>200</v>
      </c>
      <c r="E40" s="42" t="s">
        <v>697</v>
      </c>
      <c r="F40" s="5" t="s">
        <v>700</v>
      </c>
      <c r="G40" s="34">
        <v>0.6</v>
      </c>
      <c r="H40" s="22" t="s">
        <v>699</v>
      </c>
    </row>
  </sheetData>
  <mergeCells count="4">
    <mergeCell ref="A2:H2"/>
    <mergeCell ref="A5:H5"/>
    <mergeCell ref="A17:H17"/>
    <mergeCell ref="A29:H29"/>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64C8ACC-5B5C-4766-951F-8568E51A8C6C}">
          <x14:formula1>
            <xm:f>'Tool 05.3 Default Values'!$B$4:$B$56</xm:f>
          </x14:formula1>
          <xm:sqref>G9 G21 G33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801DF-5430-4564-AA0D-EB2A45359D4E}">
  <dimension ref="B1:D56"/>
  <sheetViews>
    <sheetView workbookViewId="0">
      <selection activeCell="B4" sqref="B4"/>
    </sheetView>
  </sheetViews>
  <sheetFormatPr defaultRowHeight="15"/>
  <cols>
    <col min="2" max="2" width="33.85546875" bestFit="1" customWidth="1"/>
    <col min="3" max="3" width="20.7109375" customWidth="1"/>
    <col min="4" max="4" width="40.42578125" customWidth="1"/>
  </cols>
  <sheetData>
    <row r="1" spans="2:4" ht="15.75" thickBot="1"/>
    <row r="2" spans="2:4" ht="19.5" thickBot="1">
      <c r="B2" s="193" t="s">
        <v>705</v>
      </c>
      <c r="C2" s="194"/>
      <c r="D2" s="195"/>
    </row>
    <row r="3" spans="2:4" ht="48" thickBot="1">
      <c r="B3" s="73" t="s">
        <v>706</v>
      </c>
      <c r="C3" s="72" t="s">
        <v>707</v>
      </c>
      <c r="D3" s="72" t="s">
        <v>708</v>
      </c>
    </row>
    <row r="4" spans="2:4">
      <c r="B4" s="71" t="s">
        <v>684</v>
      </c>
      <c r="C4" s="70">
        <v>40.1</v>
      </c>
      <c r="D4" s="69">
        <v>75500</v>
      </c>
    </row>
    <row r="5" spans="2:4">
      <c r="B5" s="67" t="s">
        <v>709</v>
      </c>
      <c r="C5" s="66">
        <v>27.5</v>
      </c>
      <c r="D5" s="65">
        <v>85400</v>
      </c>
    </row>
    <row r="6" spans="2:4">
      <c r="B6" s="67" t="s">
        <v>710</v>
      </c>
      <c r="C6" s="66">
        <v>40.9</v>
      </c>
      <c r="D6" s="65">
        <v>70400</v>
      </c>
    </row>
    <row r="7" spans="2:4">
      <c r="B7" s="67" t="s">
        <v>711</v>
      </c>
      <c r="C7" s="66">
        <v>42.5</v>
      </c>
      <c r="D7" s="65">
        <v>73000</v>
      </c>
    </row>
    <row r="8" spans="2:4">
      <c r="B8" s="67" t="s">
        <v>712</v>
      </c>
      <c r="C8" s="66">
        <v>42.5</v>
      </c>
      <c r="D8" s="65">
        <v>73000</v>
      </c>
    </row>
    <row r="9" spans="2:4">
      <c r="B9" s="67" t="s">
        <v>713</v>
      </c>
      <c r="C9" s="66">
        <v>42.5</v>
      </c>
      <c r="D9" s="65">
        <v>73000</v>
      </c>
    </row>
    <row r="10" spans="2:4">
      <c r="B10" s="67" t="s">
        <v>714</v>
      </c>
      <c r="C10" s="66">
        <v>42</v>
      </c>
      <c r="D10" s="65">
        <v>74400</v>
      </c>
    </row>
    <row r="11" spans="2:4">
      <c r="B11" s="67" t="s">
        <v>715</v>
      </c>
      <c r="C11" s="66">
        <v>42.4</v>
      </c>
      <c r="D11" s="65">
        <v>73700</v>
      </c>
    </row>
    <row r="12" spans="2:4">
      <c r="B12" s="67" t="s">
        <v>716</v>
      </c>
      <c r="C12" s="66">
        <v>32.1</v>
      </c>
      <c r="D12" s="65">
        <v>79200</v>
      </c>
    </row>
    <row r="13" spans="2:4">
      <c r="B13" s="67" t="s">
        <v>702</v>
      </c>
      <c r="C13" s="66">
        <v>41.4</v>
      </c>
      <c r="D13" s="65">
        <v>74800</v>
      </c>
    </row>
    <row r="14" spans="2:4">
      <c r="B14" s="67" t="s">
        <v>717</v>
      </c>
      <c r="C14" s="66">
        <v>39.799999999999997</v>
      </c>
      <c r="D14" s="65">
        <v>78800</v>
      </c>
    </row>
    <row r="15" spans="2:4">
      <c r="B15" s="67" t="s">
        <v>718</v>
      </c>
      <c r="C15" s="66">
        <v>44.8</v>
      </c>
      <c r="D15" s="65">
        <v>65600</v>
      </c>
    </row>
    <row r="16" spans="2:4">
      <c r="B16" s="67" t="s">
        <v>719</v>
      </c>
      <c r="C16" s="66">
        <v>44.9</v>
      </c>
      <c r="D16" s="65">
        <v>68600</v>
      </c>
    </row>
    <row r="17" spans="2:4">
      <c r="B17" s="67" t="s">
        <v>720</v>
      </c>
      <c r="C17" s="66">
        <v>41.8</v>
      </c>
      <c r="D17" s="65">
        <v>76300</v>
      </c>
    </row>
    <row r="18" spans="2:4">
      <c r="B18" s="67" t="s">
        <v>721</v>
      </c>
      <c r="C18" s="66">
        <v>33.5</v>
      </c>
      <c r="D18" s="65">
        <v>89900</v>
      </c>
    </row>
    <row r="19" spans="2:4">
      <c r="B19" s="67" t="s">
        <v>722</v>
      </c>
      <c r="C19" s="66">
        <v>33.5</v>
      </c>
      <c r="D19" s="65">
        <v>75200</v>
      </c>
    </row>
    <row r="20" spans="2:4">
      <c r="B20" s="67" t="s">
        <v>723</v>
      </c>
      <c r="C20" s="66">
        <v>29.7</v>
      </c>
      <c r="D20" s="65">
        <v>115000</v>
      </c>
    </row>
    <row r="21" spans="2:4">
      <c r="B21" s="67" t="s">
        <v>724</v>
      </c>
      <c r="C21" s="66">
        <v>36.299999999999997</v>
      </c>
      <c r="D21" s="65">
        <v>76600</v>
      </c>
    </row>
    <row r="22" spans="2:4">
      <c r="B22" s="67" t="s">
        <v>725</v>
      </c>
      <c r="C22" s="66">
        <v>47.5</v>
      </c>
      <c r="D22" s="65">
        <v>69000</v>
      </c>
    </row>
    <row r="23" spans="2:4">
      <c r="B23" s="67" t="s">
        <v>726</v>
      </c>
      <c r="C23" s="66">
        <v>33.700000000000003</v>
      </c>
      <c r="D23" s="65">
        <v>74400</v>
      </c>
    </row>
    <row r="24" spans="2:4">
      <c r="B24" s="67" t="s">
        <v>727</v>
      </c>
      <c r="C24" s="66">
        <v>33.700000000000003</v>
      </c>
      <c r="D24" s="65">
        <v>74400</v>
      </c>
    </row>
    <row r="25" spans="2:4">
      <c r="B25" s="67" t="s">
        <v>728</v>
      </c>
      <c r="C25" s="66">
        <v>33.700000000000003</v>
      </c>
      <c r="D25" s="65">
        <v>74400</v>
      </c>
    </row>
    <row r="26" spans="2:4">
      <c r="B26" s="67" t="s">
        <v>729</v>
      </c>
      <c r="C26" s="66">
        <v>21.6</v>
      </c>
      <c r="D26" s="65">
        <v>101000</v>
      </c>
    </row>
    <row r="27" spans="2:4">
      <c r="B27" s="67" t="s">
        <v>730</v>
      </c>
      <c r="C27" s="66">
        <v>24</v>
      </c>
      <c r="D27" s="65">
        <v>101000</v>
      </c>
    </row>
    <row r="28" spans="2:4">
      <c r="B28" s="67" t="s">
        <v>731</v>
      </c>
      <c r="C28" s="66">
        <v>19.899999999999999</v>
      </c>
      <c r="D28" s="65">
        <v>99700</v>
      </c>
    </row>
    <row r="29" spans="2:4">
      <c r="B29" s="67" t="s">
        <v>732</v>
      </c>
      <c r="C29" s="66">
        <v>11.5</v>
      </c>
      <c r="D29" s="65">
        <v>100000</v>
      </c>
    </row>
    <row r="30" spans="2:4">
      <c r="B30" s="67" t="s">
        <v>733</v>
      </c>
      <c r="C30" s="66">
        <v>5.5</v>
      </c>
      <c r="D30" s="65">
        <v>115000</v>
      </c>
    </row>
    <row r="31" spans="2:4">
      <c r="B31" s="67" t="s">
        <v>734</v>
      </c>
      <c r="C31" s="66">
        <v>7.1</v>
      </c>
      <c r="D31" s="65">
        <v>125000</v>
      </c>
    </row>
    <row r="32" spans="2:4">
      <c r="B32" s="67" t="s">
        <v>735</v>
      </c>
      <c r="C32" s="66">
        <v>15.1</v>
      </c>
      <c r="D32" s="65">
        <v>109000</v>
      </c>
    </row>
    <row r="33" spans="2:4">
      <c r="B33" s="67" t="s">
        <v>736</v>
      </c>
      <c r="C33" s="66">
        <v>15.1</v>
      </c>
      <c r="D33" s="65">
        <v>109000</v>
      </c>
    </row>
    <row r="34" spans="2:4">
      <c r="B34" s="67" t="s">
        <v>737</v>
      </c>
      <c r="C34" s="66">
        <v>25.1</v>
      </c>
      <c r="D34" s="65">
        <v>119000</v>
      </c>
    </row>
    <row r="35" spans="2:4">
      <c r="B35" s="67" t="s">
        <v>738</v>
      </c>
      <c r="C35" s="66">
        <v>25.1</v>
      </c>
      <c r="D35" s="65">
        <v>119000</v>
      </c>
    </row>
    <row r="36" spans="2:4">
      <c r="B36" s="67" t="s">
        <v>739</v>
      </c>
      <c r="C36" s="66">
        <v>14.1</v>
      </c>
      <c r="D36" s="65">
        <v>95300</v>
      </c>
    </row>
    <row r="37" spans="2:4">
      <c r="B37" s="67" t="s">
        <v>740</v>
      </c>
      <c r="C37" s="66">
        <v>19.600000000000001</v>
      </c>
      <c r="D37" s="65">
        <v>54100</v>
      </c>
    </row>
    <row r="38" spans="2:4">
      <c r="B38" s="67" t="s">
        <v>741</v>
      </c>
      <c r="C38" s="66">
        <v>19.600000000000001</v>
      </c>
      <c r="D38" s="65">
        <v>54100</v>
      </c>
    </row>
    <row r="39" spans="2:4">
      <c r="B39" s="67" t="s">
        <v>742</v>
      </c>
      <c r="C39" s="66">
        <v>1.2</v>
      </c>
      <c r="D39" s="65">
        <v>308000</v>
      </c>
    </row>
    <row r="40" spans="2:4">
      <c r="B40" s="67" t="s">
        <v>743</v>
      </c>
      <c r="C40" s="66">
        <v>3.8</v>
      </c>
      <c r="D40" s="65">
        <v>202000</v>
      </c>
    </row>
    <row r="41" spans="2:4">
      <c r="B41" s="67" t="s">
        <v>704</v>
      </c>
      <c r="C41" s="66">
        <v>46.5</v>
      </c>
      <c r="D41" s="65">
        <v>58300</v>
      </c>
    </row>
    <row r="42" spans="2:4" ht="30">
      <c r="B42" s="68" t="s">
        <v>744</v>
      </c>
      <c r="C42" s="66">
        <v>7</v>
      </c>
      <c r="D42" s="65">
        <v>121000</v>
      </c>
    </row>
    <row r="43" spans="2:4">
      <c r="B43" s="67" t="s">
        <v>745</v>
      </c>
      <c r="C43" s="66">
        <v>20.3</v>
      </c>
      <c r="D43" s="65">
        <v>74400</v>
      </c>
    </row>
    <row r="44" spans="2:4">
      <c r="B44" s="67" t="s">
        <v>746</v>
      </c>
      <c r="C44" s="66">
        <v>7.8</v>
      </c>
      <c r="D44" s="65">
        <v>108000</v>
      </c>
    </row>
    <row r="45" spans="2:4">
      <c r="B45" s="67" t="s">
        <v>747</v>
      </c>
      <c r="C45" s="66">
        <v>7.9</v>
      </c>
      <c r="D45" s="65">
        <v>132000</v>
      </c>
    </row>
    <row r="46" spans="2:4">
      <c r="B46" s="67" t="s">
        <v>748</v>
      </c>
      <c r="C46" s="66">
        <v>5.9</v>
      </c>
      <c r="D46" s="65">
        <v>110000</v>
      </c>
    </row>
    <row r="47" spans="2:4">
      <c r="B47" s="67" t="s">
        <v>749</v>
      </c>
      <c r="C47" s="66">
        <v>5.9</v>
      </c>
      <c r="D47" s="65">
        <v>117000</v>
      </c>
    </row>
    <row r="48" spans="2:4">
      <c r="B48" s="67" t="s">
        <v>750</v>
      </c>
      <c r="C48" s="66">
        <v>14.9</v>
      </c>
      <c r="D48" s="65">
        <v>132000</v>
      </c>
    </row>
    <row r="49" spans="2:4">
      <c r="B49" s="67" t="s">
        <v>751</v>
      </c>
      <c r="C49" s="66">
        <v>13.6</v>
      </c>
      <c r="D49" s="65">
        <v>84300</v>
      </c>
    </row>
    <row r="50" spans="2:4">
      <c r="B50" s="67" t="s">
        <v>752</v>
      </c>
      <c r="C50" s="66">
        <v>13.6</v>
      </c>
      <c r="D50" s="65">
        <v>84300</v>
      </c>
    </row>
    <row r="51" spans="2:4">
      <c r="B51" s="67" t="s">
        <v>753</v>
      </c>
      <c r="C51" s="66">
        <v>13.8</v>
      </c>
      <c r="D51" s="65">
        <v>95300</v>
      </c>
    </row>
    <row r="52" spans="2:4">
      <c r="B52" s="67" t="s">
        <v>754</v>
      </c>
      <c r="C52" s="66">
        <v>25.4</v>
      </c>
      <c r="D52" s="65">
        <v>66000</v>
      </c>
    </row>
    <row r="53" spans="2:4">
      <c r="B53" s="67" t="s">
        <v>755</v>
      </c>
      <c r="C53" s="66">
        <v>25.4</v>
      </c>
      <c r="D53" s="65">
        <v>66000</v>
      </c>
    </row>
    <row r="54" spans="2:4">
      <c r="B54" s="67" t="s">
        <v>756</v>
      </c>
      <c r="C54" s="66">
        <v>25.4</v>
      </c>
      <c r="D54" s="65">
        <v>66000</v>
      </c>
    </row>
    <row r="55" spans="2:4">
      <c r="B55" s="67" t="s">
        <v>757</v>
      </c>
      <c r="C55" s="66">
        <v>6.8</v>
      </c>
      <c r="D55" s="65">
        <v>117000</v>
      </c>
    </row>
    <row r="56" spans="2:4" ht="15.75" thickBot="1">
      <c r="B56" s="64" t="s">
        <v>758</v>
      </c>
      <c r="C56" s="63" t="s">
        <v>81</v>
      </c>
      <c r="D56" s="62">
        <v>183000</v>
      </c>
    </row>
  </sheetData>
  <mergeCells count="1">
    <mergeCell ref="B2:D2"/>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EDB30-44A8-4C0B-AEE1-B64BCDAEB71A}">
  <dimension ref="A1:F69"/>
  <sheetViews>
    <sheetView topLeftCell="A43" workbookViewId="0">
      <selection activeCell="E78" sqref="E78"/>
    </sheetView>
  </sheetViews>
  <sheetFormatPr defaultRowHeight="15"/>
  <cols>
    <col min="1" max="1" width="18.140625" bestFit="1" customWidth="1"/>
    <col min="2" max="2" width="18.140625" customWidth="1"/>
    <col min="3" max="3" width="16.140625" bestFit="1" customWidth="1"/>
    <col min="4" max="4" width="44.42578125" customWidth="1"/>
    <col min="5" max="5" width="29.28515625" bestFit="1" customWidth="1"/>
    <col min="6" max="6" width="81" customWidth="1"/>
  </cols>
  <sheetData>
    <row r="1" spans="1:6" ht="18.75">
      <c r="A1" s="134" t="s">
        <v>360</v>
      </c>
      <c r="B1" s="134" t="s">
        <v>7</v>
      </c>
      <c r="C1" s="134" t="s">
        <v>1</v>
      </c>
      <c r="D1" s="31" t="s">
        <v>362</v>
      </c>
      <c r="E1" s="31" t="s">
        <v>8</v>
      </c>
      <c r="F1" s="134" t="s">
        <v>363</v>
      </c>
    </row>
    <row r="2" spans="1:6" s="86" customFormat="1" ht="18.75">
      <c r="A2" s="135"/>
      <c r="B2" s="135"/>
      <c r="C2" s="136"/>
      <c r="D2" s="135" t="s">
        <v>101</v>
      </c>
      <c r="E2" s="136"/>
      <c r="F2" s="136"/>
    </row>
    <row r="3" spans="1:6" ht="113.25" customHeight="1">
      <c r="A3" t="s">
        <v>14</v>
      </c>
      <c r="B3" t="s">
        <v>429</v>
      </c>
      <c r="D3" s="1" t="s">
        <v>759</v>
      </c>
      <c r="E3" t="s">
        <v>16</v>
      </c>
      <c r="F3" s="1" t="s">
        <v>760</v>
      </c>
    </row>
    <row r="4" spans="1:6" s="86" customFormat="1" ht="18.75">
      <c r="A4" s="135"/>
      <c r="B4" s="135"/>
      <c r="C4" s="136"/>
      <c r="D4" s="135" t="s">
        <v>761</v>
      </c>
      <c r="E4" s="136"/>
      <c r="F4" s="136"/>
    </row>
    <row r="5" spans="1:6" s="22" customFormat="1">
      <c r="A5" s="22" t="s">
        <v>16</v>
      </c>
      <c r="B5" s="22" t="s">
        <v>390</v>
      </c>
      <c r="C5" s="154" t="s">
        <v>762</v>
      </c>
      <c r="D5" s="22" t="s">
        <v>763</v>
      </c>
      <c r="E5" s="34" t="s">
        <v>16</v>
      </c>
      <c r="F5" s="34">
        <v>16.04</v>
      </c>
    </row>
    <row r="6" spans="1:6" s="22" customFormat="1">
      <c r="A6" s="22" t="s">
        <v>16</v>
      </c>
      <c r="B6" s="22" t="s">
        <v>390</v>
      </c>
      <c r="C6" s="22" t="s">
        <v>764</v>
      </c>
      <c r="D6" s="22" t="s">
        <v>765</v>
      </c>
      <c r="E6" s="34" t="s">
        <v>16</v>
      </c>
      <c r="F6" s="34">
        <v>28.01</v>
      </c>
    </row>
    <row r="7" spans="1:6" s="22" customFormat="1">
      <c r="A7" s="22" t="s">
        <v>16</v>
      </c>
      <c r="B7" s="22" t="s">
        <v>390</v>
      </c>
      <c r="C7" s="22" t="s">
        <v>766</v>
      </c>
      <c r="D7" s="22" t="s">
        <v>767</v>
      </c>
      <c r="E7" s="34" t="s">
        <v>16</v>
      </c>
      <c r="F7" s="34">
        <v>44.01</v>
      </c>
    </row>
    <row r="8" spans="1:6" s="22" customFormat="1">
      <c r="A8" s="22" t="s">
        <v>16</v>
      </c>
      <c r="B8" s="22" t="s">
        <v>390</v>
      </c>
      <c r="C8" s="22" t="s">
        <v>768</v>
      </c>
      <c r="D8" s="22" t="s">
        <v>769</v>
      </c>
      <c r="E8" s="34" t="s">
        <v>16</v>
      </c>
      <c r="F8" s="34">
        <v>32</v>
      </c>
    </row>
    <row r="9" spans="1:6" s="22" customFormat="1">
      <c r="A9" s="22" t="s">
        <v>16</v>
      </c>
      <c r="B9" s="22" t="s">
        <v>390</v>
      </c>
      <c r="C9" s="22" t="s">
        <v>770</v>
      </c>
      <c r="D9" s="22" t="s">
        <v>771</v>
      </c>
      <c r="E9" s="34" t="s">
        <v>16</v>
      </c>
      <c r="F9" s="34">
        <v>2.02</v>
      </c>
    </row>
    <row r="10" spans="1:6" s="22" customFormat="1">
      <c r="A10" s="22" t="s">
        <v>16</v>
      </c>
      <c r="B10" s="22" t="s">
        <v>390</v>
      </c>
      <c r="C10" s="22" t="s">
        <v>772</v>
      </c>
      <c r="D10" s="22" t="s">
        <v>773</v>
      </c>
      <c r="E10" s="34" t="s">
        <v>16</v>
      </c>
      <c r="F10" s="34">
        <v>28.02</v>
      </c>
    </row>
    <row r="11" spans="1:6" s="22" customFormat="1">
      <c r="A11" s="22" t="s">
        <v>16</v>
      </c>
      <c r="B11" s="22" t="s">
        <v>390</v>
      </c>
      <c r="C11" s="22" t="s">
        <v>774</v>
      </c>
      <c r="D11" s="22" t="s">
        <v>775</v>
      </c>
      <c r="E11" s="34" t="s">
        <v>16</v>
      </c>
      <c r="F11" s="34">
        <v>12</v>
      </c>
    </row>
    <row r="12" spans="1:6" s="22" customFormat="1">
      <c r="A12" s="22" t="s">
        <v>16</v>
      </c>
      <c r="B12" s="22" t="s">
        <v>390</v>
      </c>
      <c r="C12" s="22" t="s">
        <v>776</v>
      </c>
      <c r="D12" s="22" t="s">
        <v>777</v>
      </c>
      <c r="E12" s="34" t="s">
        <v>16</v>
      </c>
      <c r="F12" s="34">
        <v>1.01</v>
      </c>
    </row>
    <row r="13" spans="1:6" s="22" customFormat="1">
      <c r="A13" s="22" t="s">
        <v>16</v>
      </c>
      <c r="B13" s="22" t="s">
        <v>390</v>
      </c>
      <c r="C13" s="22" t="s">
        <v>778</v>
      </c>
      <c r="D13" s="22" t="s">
        <v>779</v>
      </c>
      <c r="E13" s="34" t="s">
        <v>16</v>
      </c>
      <c r="F13" s="34">
        <v>16</v>
      </c>
    </row>
    <row r="14" spans="1:6" s="22" customFormat="1">
      <c r="A14" s="22" t="s">
        <v>16</v>
      </c>
      <c r="B14" s="22" t="s">
        <v>390</v>
      </c>
      <c r="C14" s="22" t="s">
        <v>780</v>
      </c>
      <c r="D14" s="22" t="s">
        <v>781</v>
      </c>
      <c r="E14" s="34" t="s">
        <v>16</v>
      </c>
      <c r="F14" s="34">
        <v>14.01</v>
      </c>
    </row>
    <row r="15" spans="1:6" s="22" customFormat="1">
      <c r="A15" s="22" t="s">
        <v>16</v>
      </c>
      <c r="B15" s="22" t="s">
        <v>390</v>
      </c>
      <c r="C15" s="22" t="s">
        <v>782</v>
      </c>
      <c r="D15" s="22" t="s">
        <v>783</v>
      </c>
      <c r="E15" s="34" t="s">
        <v>16</v>
      </c>
      <c r="F15" s="34">
        <v>101325</v>
      </c>
    </row>
    <row r="16" spans="1:6" s="22" customFormat="1">
      <c r="A16" s="22" t="s">
        <v>16</v>
      </c>
      <c r="B16" s="22" t="s">
        <v>390</v>
      </c>
      <c r="C16" s="22" t="s">
        <v>784</v>
      </c>
      <c r="D16" s="22" t="s">
        <v>785</v>
      </c>
      <c r="E16" s="34" t="s">
        <v>16</v>
      </c>
      <c r="F16" s="34">
        <v>8314.4719999999998</v>
      </c>
    </row>
    <row r="17" spans="1:6" s="22" customFormat="1">
      <c r="A17" s="22" t="s">
        <v>16</v>
      </c>
      <c r="B17" s="22" t="s">
        <v>390</v>
      </c>
      <c r="C17" s="22" t="s">
        <v>786</v>
      </c>
      <c r="D17" s="22" t="s">
        <v>787</v>
      </c>
      <c r="E17" s="34" t="s">
        <v>16</v>
      </c>
      <c r="F17" s="34">
        <v>273.14999999999998</v>
      </c>
    </row>
    <row r="18" spans="1:6" s="22" customFormat="1">
      <c r="A18" s="22" t="s">
        <v>16</v>
      </c>
      <c r="B18" s="22" t="s">
        <v>390</v>
      </c>
      <c r="C18" s="22" t="s">
        <v>788</v>
      </c>
      <c r="D18" s="22" t="s">
        <v>789</v>
      </c>
      <c r="E18" s="34" t="s">
        <v>16</v>
      </c>
      <c r="F18" s="34">
        <v>0.21</v>
      </c>
    </row>
    <row r="19" spans="1:6" s="22" customFormat="1">
      <c r="A19" s="22" t="s">
        <v>16</v>
      </c>
      <c r="B19" s="22" t="s">
        <v>390</v>
      </c>
      <c r="C19" s="22" t="s">
        <v>790</v>
      </c>
      <c r="D19" s="22" t="s">
        <v>791</v>
      </c>
      <c r="E19" s="34" t="s">
        <v>16</v>
      </c>
      <c r="F19" s="34">
        <v>25</v>
      </c>
    </row>
    <row r="20" spans="1:6" s="22" customFormat="1" ht="30">
      <c r="A20" s="22" t="s">
        <v>16</v>
      </c>
      <c r="B20" s="22" t="s">
        <v>390</v>
      </c>
      <c r="C20" s="22" t="s">
        <v>792</v>
      </c>
      <c r="D20" s="5" t="s">
        <v>793</v>
      </c>
      <c r="E20" s="34" t="s">
        <v>16</v>
      </c>
      <c r="F20" s="34">
        <v>22.414000000000001</v>
      </c>
    </row>
    <row r="21" spans="1:6" s="22" customFormat="1">
      <c r="A21" s="22" t="s">
        <v>16</v>
      </c>
      <c r="B21" s="22" t="s">
        <v>390</v>
      </c>
      <c r="C21" s="22" t="s">
        <v>794</v>
      </c>
      <c r="D21" s="22" t="s">
        <v>795</v>
      </c>
      <c r="E21" s="34" t="s">
        <v>16</v>
      </c>
      <c r="F21" s="34">
        <v>0.71599999999999997</v>
      </c>
    </row>
    <row r="22" spans="1:6" s="22" customFormat="1" ht="30">
      <c r="A22" s="22" t="s">
        <v>16</v>
      </c>
      <c r="B22" s="22" t="s">
        <v>390</v>
      </c>
      <c r="C22" s="22" t="s">
        <v>796</v>
      </c>
      <c r="D22" s="5" t="s">
        <v>797</v>
      </c>
      <c r="E22" s="34" t="s">
        <v>16</v>
      </c>
      <c r="F22" s="34" t="s">
        <v>798</v>
      </c>
    </row>
    <row r="23" spans="1:6" s="22" customFormat="1" ht="30">
      <c r="A23" s="22" t="s">
        <v>16</v>
      </c>
      <c r="B23" s="22" t="s">
        <v>390</v>
      </c>
      <c r="C23" s="22" t="s">
        <v>799</v>
      </c>
      <c r="D23" s="5" t="s">
        <v>800</v>
      </c>
      <c r="E23" s="34" t="s">
        <v>16</v>
      </c>
      <c r="F23" s="34">
        <v>1</v>
      </c>
    </row>
    <row r="24" spans="1:6" s="22" customFormat="1">
      <c r="A24" s="22" t="s">
        <v>16</v>
      </c>
      <c r="B24" s="22" t="s">
        <v>390</v>
      </c>
      <c r="C24" s="22" t="s">
        <v>801</v>
      </c>
      <c r="D24" s="22" t="s">
        <v>802</v>
      </c>
      <c r="E24" s="34" t="s">
        <v>16</v>
      </c>
      <c r="F24" s="34">
        <v>1</v>
      </c>
    </row>
    <row r="25" spans="1:6" s="22" customFormat="1" ht="30">
      <c r="A25" s="22" t="s">
        <v>16</v>
      </c>
      <c r="B25" s="22" t="s">
        <v>390</v>
      </c>
      <c r="C25" s="22" t="s">
        <v>803</v>
      </c>
      <c r="D25" s="5" t="s">
        <v>804</v>
      </c>
      <c r="E25" s="34" t="s">
        <v>16</v>
      </c>
      <c r="F25" s="34">
        <v>1</v>
      </c>
    </row>
    <row r="26" spans="1:6" s="22" customFormat="1" ht="30">
      <c r="A26" s="22" t="s">
        <v>16</v>
      </c>
      <c r="B26" s="22" t="s">
        <v>390</v>
      </c>
      <c r="C26" s="22" t="s">
        <v>805</v>
      </c>
      <c r="D26" s="5" t="s">
        <v>806</v>
      </c>
      <c r="E26" s="34" t="s">
        <v>16</v>
      </c>
      <c r="F26" s="34">
        <v>4</v>
      </c>
    </row>
    <row r="27" spans="1:6" s="22" customFormat="1">
      <c r="A27" s="22" t="s">
        <v>16</v>
      </c>
      <c r="B27" s="22" t="s">
        <v>390</v>
      </c>
      <c r="C27" s="22" t="s">
        <v>807</v>
      </c>
      <c r="D27" s="22" t="s">
        <v>808</v>
      </c>
      <c r="E27" s="34" t="s">
        <v>16</v>
      </c>
      <c r="F27" s="34">
        <v>2</v>
      </c>
    </row>
    <row r="28" spans="1:6" s="22" customFormat="1">
      <c r="A28" s="22" t="s">
        <v>16</v>
      </c>
      <c r="B28" s="22" t="s">
        <v>390</v>
      </c>
      <c r="C28" s="22" t="s">
        <v>809</v>
      </c>
      <c r="D28" s="22" t="s">
        <v>810</v>
      </c>
      <c r="E28" s="34" t="s">
        <v>16</v>
      </c>
      <c r="F28" s="34">
        <v>1</v>
      </c>
    </row>
    <row r="29" spans="1:6" s="22" customFormat="1" ht="30">
      <c r="A29" s="22" t="s">
        <v>16</v>
      </c>
      <c r="B29" s="22" t="s">
        <v>390</v>
      </c>
      <c r="C29" s="22" t="s">
        <v>811</v>
      </c>
      <c r="D29" s="5" t="s">
        <v>812</v>
      </c>
      <c r="E29" s="34" t="s">
        <v>16</v>
      </c>
      <c r="F29" s="34">
        <v>2</v>
      </c>
    </row>
    <row r="30" spans="1:6" s="22" customFormat="1">
      <c r="A30" s="22" t="s">
        <v>16</v>
      </c>
      <c r="B30" s="22" t="s">
        <v>390</v>
      </c>
      <c r="C30" s="22" t="s">
        <v>813</v>
      </c>
      <c r="D30" s="22" t="s">
        <v>814</v>
      </c>
      <c r="E30" s="34" t="s">
        <v>16</v>
      </c>
      <c r="F30" s="34">
        <v>2</v>
      </c>
    </row>
    <row r="31" spans="1:6" s="22" customFormat="1">
      <c r="A31" s="22" t="s">
        <v>16</v>
      </c>
      <c r="B31" s="22" t="s">
        <v>390</v>
      </c>
      <c r="C31" s="22" t="s">
        <v>815</v>
      </c>
      <c r="D31" s="22" t="s">
        <v>816</v>
      </c>
      <c r="E31" s="34" t="s">
        <v>16</v>
      </c>
      <c r="F31" s="34">
        <v>2</v>
      </c>
    </row>
    <row r="32" spans="1:6" s="86" customFormat="1" ht="18.75">
      <c r="A32" s="135"/>
      <c r="B32" s="135"/>
      <c r="C32" s="136"/>
      <c r="D32" s="135" t="s">
        <v>817</v>
      </c>
      <c r="E32" s="136"/>
      <c r="F32" s="136"/>
    </row>
    <row r="33" spans="1:6">
      <c r="A33" t="s">
        <v>14</v>
      </c>
      <c r="B33" t="s">
        <v>91</v>
      </c>
      <c r="C33" t="s">
        <v>818</v>
      </c>
      <c r="D33" t="s">
        <v>819</v>
      </c>
      <c r="E33" s="41" t="s">
        <v>14</v>
      </c>
      <c r="F33" s="155">
        <v>0.55000000000000004</v>
      </c>
    </row>
    <row r="34" spans="1:6">
      <c r="A34" t="s">
        <v>14</v>
      </c>
      <c r="B34" t="s">
        <v>91</v>
      </c>
      <c r="C34" t="s">
        <v>820</v>
      </c>
      <c r="D34" t="s">
        <v>821</v>
      </c>
      <c r="E34" s="41" t="s">
        <v>14</v>
      </c>
      <c r="F34" s="155">
        <v>0</v>
      </c>
    </row>
    <row r="35" spans="1:6">
      <c r="A35" t="s">
        <v>14</v>
      </c>
      <c r="B35" t="s">
        <v>91</v>
      </c>
      <c r="C35" t="s">
        <v>822</v>
      </c>
      <c r="D35" t="s">
        <v>823</v>
      </c>
      <c r="E35" s="41" t="s">
        <v>14</v>
      </c>
      <c r="F35" s="155">
        <v>0.35</v>
      </c>
    </row>
    <row r="36" spans="1:6">
      <c r="A36" t="s">
        <v>14</v>
      </c>
      <c r="B36" t="s">
        <v>91</v>
      </c>
      <c r="C36" t="s">
        <v>824</v>
      </c>
      <c r="D36" t="s">
        <v>825</v>
      </c>
      <c r="E36" s="41" t="s">
        <v>14</v>
      </c>
      <c r="F36" s="155">
        <v>0.05</v>
      </c>
    </row>
    <row r="37" spans="1:6">
      <c r="A37" t="s">
        <v>14</v>
      </c>
      <c r="B37" t="s">
        <v>91</v>
      </c>
      <c r="C37" t="s">
        <v>826</v>
      </c>
      <c r="D37" t="s">
        <v>827</v>
      </c>
      <c r="E37" s="41" t="s">
        <v>14</v>
      </c>
      <c r="F37" s="155">
        <v>0.01</v>
      </c>
    </row>
    <row r="38" spans="1:6">
      <c r="A38" t="s">
        <v>14</v>
      </c>
      <c r="B38" t="s">
        <v>91</v>
      </c>
      <c r="C38" t="s">
        <v>828</v>
      </c>
      <c r="D38" t="s">
        <v>829</v>
      </c>
      <c r="E38" s="41" t="s">
        <v>14</v>
      </c>
      <c r="F38" s="155">
        <v>0.04</v>
      </c>
    </row>
    <row r="39" spans="1:6" ht="30">
      <c r="A39" t="s">
        <v>14</v>
      </c>
      <c r="B39" t="s">
        <v>91</v>
      </c>
      <c r="C39" t="s">
        <v>830</v>
      </c>
      <c r="D39" s="1" t="s">
        <v>831</v>
      </c>
      <c r="E39" s="41" t="s">
        <v>14</v>
      </c>
      <c r="F39" s="156">
        <v>1000</v>
      </c>
    </row>
    <row r="40" spans="1:6">
      <c r="A40" t="s">
        <v>14</v>
      </c>
      <c r="B40" t="s">
        <v>91</v>
      </c>
      <c r="C40" t="s">
        <v>832</v>
      </c>
      <c r="D40" t="s">
        <v>833</v>
      </c>
      <c r="E40" s="41" t="s">
        <v>14</v>
      </c>
      <c r="F40" s="155">
        <v>0.1</v>
      </c>
    </row>
    <row r="41" spans="1:6" ht="30">
      <c r="A41" t="s">
        <v>14</v>
      </c>
      <c r="B41" t="s">
        <v>91</v>
      </c>
      <c r="C41" t="s">
        <v>834</v>
      </c>
      <c r="D41" s="1" t="s">
        <v>835</v>
      </c>
      <c r="E41" s="41" t="s">
        <v>14</v>
      </c>
      <c r="F41" s="41">
        <v>1000</v>
      </c>
    </row>
    <row r="42" spans="1:6">
      <c r="A42" t="s">
        <v>14</v>
      </c>
      <c r="B42" t="s">
        <v>91</v>
      </c>
      <c r="C42" t="s">
        <v>836</v>
      </c>
      <c r="D42" t="s">
        <v>837</v>
      </c>
      <c r="E42" s="41" t="s">
        <v>14</v>
      </c>
      <c r="F42" s="107">
        <v>8760</v>
      </c>
    </row>
    <row r="43" spans="1:6" s="86" customFormat="1" ht="18.75">
      <c r="A43" s="135"/>
      <c r="B43" s="135"/>
      <c r="C43" s="136"/>
      <c r="D43" s="135" t="s">
        <v>838</v>
      </c>
      <c r="E43" s="136"/>
      <c r="F43" s="136"/>
    </row>
    <row r="44" spans="1:6" s="22" customFormat="1" ht="30">
      <c r="A44" s="22" t="s">
        <v>16</v>
      </c>
      <c r="B44" s="22" t="s">
        <v>390</v>
      </c>
      <c r="C44" s="22" t="s">
        <v>839</v>
      </c>
      <c r="D44" s="5" t="s">
        <v>840</v>
      </c>
      <c r="E44" s="22" t="s">
        <v>16</v>
      </c>
      <c r="F44" s="34">
        <f>F45*F46</f>
        <v>1203.109940767265</v>
      </c>
    </row>
    <row r="45" spans="1:6" s="22" customFormat="1" ht="30">
      <c r="A45" s="22" t="s">
        <v>16</v>
      </c>
      <c r="B45" s="22" t="s">
        <v>390</v>
      </c>
      <c r="C45" s="22" t="s">
        <v>841</v>
      </c>
      <c r="D45" s="5" t="s">
        <v>842</v>
      </c>
      <c r="E45" s="22" t="s">
        <v>16</v>
      </c>
      <c r="F45" s="34">
        <f>F47/(F16*F17)</f>
        <v>1.203109940767265</v>
      </c>
    </row>
    <row r="46" spans="1:6" s="22" customFormat="1" ht="33" customHeight="1">
      <c r="A46" s="22" t="s">
        <v>16</v>
      </c>
      <c r="B46" s="22" t="s">
        <v>390</v>
      </c>
      <c r="C46" s="22" t="s">
        <v>843</v>
      </c>
      <c r="D46" s="5" t="s">
        <v>844</v>
      </c>
      <c r="E46" s="22" t="s">
        <v>16</v>
      </c>
      <c r="F46" s="34">
        <v>1000</v>
      </c>
    </row>
    <row r="47" spans="1:6" s="22" customFormat="1" ht="30">
      <c r="A47" s="22" t="s">
        <v>16</v>
      </c>
      <c r="B47" s="22" t="s">
        <v>390</v>
      </c>
      <c r="C47" s="22" t="s">
        <v>845</v>
      </c>
      <c r="D47" s="5" t="s">
        <v>846</v>
      </c>
      <c r="E47" s="22" t="s">
        <v>16</v>
      </c>
      <c r="F47" s="34">
        <f>F15*F48</f>
        <v>2732380.6124999998</v>
      </c>
    </row>
    <row r="48" spans="1:6" s="22" customFormat="1" ht="30">
      <c r="A48" s="22" t="s">
        <v>16</v>
      </c>
      <c r="B48" s="22" t="s">
        <v>390</v>
      </c>
      <c r="C48" s="22" t="s">
        <v>847</v>
      </c>
      <c r="D48" s="5" t="s">
        <v>848</v>
      </c>
      <c r="E48" s="22" t="s">
        <v>16</v>
      </c>
      <c r="F48" s="34">
        <f>F5*F33+F6*F34+F7*F35+F8*F36+F9*F37+F10*F38</f>
        <v>26.966499999999996</v>
      </c>
    </row>
    <row r="49" spans="1:6" s="86" customFormat="1" ht="18.75">
      <c r="A49" s="135"/>
      <c r="B49" s="135"/>
      <c r="C49" s="136"/>
      <c r="D49" s="135" t="s">
        <v>849</v>
      </c>
      <c r="E49" s="136"/>
      <c r="F49" s="136"/>
    </row>
    <row r="50" spans="1:6" s="34" customFormat="1" ht="30">
      <c r="A50" s="34" t="s">
        <v>16</v>
      </c>
      <c r="B50" s="34" t="s">
        <v>390</v>
      </c>
      <c r="C50" s="34" t="s">
        <v>850</v>
      </c>
      <c r="D50" s="49" t="s">
        <v>851</v>
      </c>
      <c r="E50" s="34" t="s">
        <v>16</v>
      </c>
      <c r="F50" s="34">
        <f>F39*F33*F21</f>
        <v>393.8</v>
      </c>
    </row>
    <row r="51" spans="1:6" s="86" customFormat="1" ht="18.75">
      <c r="A51" s="135"/>
      <c r="B51" s="135"/>
      <c r="C51" s="136"/>
      <c r="D51" s="135" t="s">
        <v>852</v>
      </c>
      <c r="E51" s="136"/>
      <c r="F51" s="136"/>
    </row>
    <row r="52" spans="1:6" s="22" customFormat="1">
      <c r="A52" s="22" t="s">
        <v>16</v>
      </c>
      <c r="B52" s="22" t="s">
        <v>390</v>
      </c>
      <c r="C52" s="22" t="s">
        <v>853</v>
      </c>
      <c r="D52" s="22" t="s">
        <v>854</v>
      </c>
      <c r="E52" s="22" t="s">
        <v>16</v>
      </c>
      <c r="F52" s="34">
        <f>(1-(F54/F50))*100</f>
        <v>97.620272779259992</v>
      </c>
    </row>
    <row r="53" spans="1:6" s="86" customFormat="1" ht="18.75">
      <c r="A53" s="135"/>
      <c r="B53" s="135"/>
      <c r="C53" s="136"/>
      <c r="D53" s="135" t="s">
        <v>855</v>
      </c>
      <c r="E53" s="136"/>
      <c r="F53" s="136"/>
    </row>
    <row r="54" spans="1:6" s="22" customFormat="1" ht="45">
      <c r="A54" s="22" t="s">
        <v>16</v>
      </c>
      <c r="B54" s="22" t="s">
        <v>390</v>
      </c>
      <c r="C54" s="22" t="s">
        <v>856</v>
      </c>
      <c r="D54" s="127" t="s">
        <v>857</v>
      </c>
      <c r="E54" s="22" t="s">
        <v>16</v>
      </c>
      <c r="F54" s="34">
        <f>F56*F41/1000000</f>
        <v>9.3713657952741762</v>
      </c>
    </row>
    <row r="55" spans="1:6" s="86" customFormat="1" ht="18.75">
      <c r="A55" s="135"/>
      <c r="B55" s="135"/>
      <c r="C55" s="136"/>
      <c r="D55" s="135" t="s">
        <v>858</v>
      </c>
      <c r="E55" s="136"/>
      <c r="F55" s="136"/>
    </row>
    <row r="56" spans="1:6" s="22" customFormat="1" ht="34.5" customHeight="1">
      <c r="A56" s="22" t="s">
        <v>16</v>
      </c>
      <c r="B56" s="22" t="s">
        <v>390</v>
      </c>
      <c r="C56" s="22" t="s">
        <v>859</v>
      </c>
      <c r="D56" s="5" t="s">
        <v>860</v>
      </c>
      <c r="E56" s="22" t="s">
        <v>16</v>
      </c>
      <c r="F56" s="34">
        <f>F57*F44</f>
        <v>9371.365795274176</v>
      </c>
    </row>
    <row r="57" spans="1:6" s="22" customFormat="1" ht="47.25" customHeight="1">
      <c r="A57" s="22" t="s">
        <v>16</v>
      </c>
      <c r="B57" s="22" t="s">
        <v>390</v>
      </c>
      <c r="C57" s="157" t="s">
        <v>861</v>
      </c>
      <c r="D57" s="5" t="s">
        <v>862</v>
      </c>
      <c r="E57" s="22" t="s">
        <v>16</v>
      </c>
      <c r="F57" s="34">
        <f>F60+F59+F58</f>
        <v>7.7892846511580895</v>
      </c>
    </row>
    <row r="58" spans="1:6" s="22" customFormat="1" ht="45">
      <c r="A58" s="22" t="s">
        <v>16</v>
      </c>
      <c r="B58" s="22" t="s">
        <v>390</v>
      </c>
      <c r="C58" s="22" t="s">
        <v>863</v>
      </c>
      <c r="D58" s="5" t="s">
        <v>864</v>
      </c>
      <c r="E58" s="22" t="s">
        <v>16</v>
      </c>
      <c r="F58" s="34">
        <f>F61*F20</f>
        <v>0.77892846511580904</v>
      </c>
    </row>
    <row r="59" spans="1:6" s="22" customFormat="1" ht="46.5" customHeight="1">
      <c r="A59" s="22" t="s">
        <v>16</v>
      </c>
      <c r="B59" s="22" t="s">
        <v>390</v>
      </c>
      <c r="C59" s="22" t="s">
        <v>865</v>
      </c>
      <c r="D59" s="5" t="s">
        <v>866</v>
      </c>
      <c r="E59" s="22" t="s">
        <v>16</v>
      </c>
      <c r="F59" s="34">
        <f>F20*((F67/(2*F14)+((1-F18)/F18)*(F62+F61)))</f>
        <v>6.2622947023495508</v>
      </c>
    </row>
    <row r="60" spans="1:6" s="22" customFormat="1" ht="47.25" customHeight="1">
      <c r="A60" s="22" t="s">
        <v>16</v>
      </c>
      <c r="B60" s="22" t="s">
        <v>390</v>
      </c>
      <c r="C60" s="22" t="s">
        <v>867</v>
      </c>
      <c r="D60" s="5" t="s">
        <v>868</v>
      </c>
      <c r="E60" s="22" t="s">
        <v>16</v>
      </c>
      <c r="F60" s="34">
        <f>(F64/F11)*F20</f>
        <v>0.74806148369272996</v>
      </c>
    </row>
    <row r="61" spans="1:6" s="22" customFormat="1" ht="45">
      <c r="A61" s="22" t="s">
        <v>16</v>
      </c>
      <c r="B61" s="22" t="s">
        <v>390</v>
      </c>
      <c r="C61" s="22" t="s">
        <v>869</v>
      </c>
      <c r="D61" s="5" t="s">
        <v>870</v>
      </c>
      <c r="E61" s="22" t="s">
        <v>16</v>
      </c>
      <c r="F61" s="34">
        <f>(F40/(1-(F40/F18))*(F64/F11+F67/(2*F14)+((1-F18)/F18)*F62))</f>
        <v>3.4751872272499734E-2</v>
      </c>
    </row>
    <row r="62" spans="1:6" s="22" customFormat="1" ht="45">
      <c r="A62" s="22" t="s">
        <v>16</v>
      </c>
      <c r="B62" s="22" t="s">
        <v>390</v>
      </c>
      <c r="C62" s="22" t="s">
        <v>871</v>
      </c>
      <c r="D62" s="5" t="s">
        <v>872</v>
      </c>
      <c r="E62" s="22" t="s">
        <v>16</v>
      </c>
      <c r="F62" s="34">
        <f>((F64/F11)+(F65/(4*F12)-(F66)/(2*F13)))</f>
        <v>3.9122615096508641E-2</v>
      </c>
    </row>
    <row r="63" spans="1:6" s="86" customFormat="1" ht="18.75">
      <c r="A63" s="135"/>
      <c r="B63" s="135"/>
      <c r="D63" s="135" t="s">
        <v>873</v>
      </c>
      <c r="E63" s="136"/>
      <c r="F63" s="136"/>
    </row>
    <row r="64" spans="1:6" s="22" customFormat="1" ht="30">
      <c r="A64" s="22" t="s">
        <v>16</v>
      </c>
      <c r="B64" s="22" t="s">
        <v>390</v>
      </c>
      <c r="C64" s="157" t="s">
        <v>874</v>
      </c>
      <c r="D64" s="5" t="s">
        <v>875</v>
      </c>
      <c r="E64" s="22" t="s">
        <v>16</v>
      </c>
      <c r="F64" s="34">
        <f>((F33*F23+F34*F24+F35*F25)*F11)/F48</f>
        <v>0.40049691283629696</v>
      </c>
    </row>
    <row r="65" spans="1:6" s="22" customFormat="1" ht="30">
      <c r="A65" s="22" t="s">
        <v>16</v>
      </c>
      <c r="B65" s="22" t="s">
        <v>390</v>
      </c>
      <c r="C65" s="22" t="s">
        <v>876</v>
      </c>
      <c r="D65" s="5" t="s">
        <v>877</v>
      </c>
      <c r="E65" s="22" t="s">
        <v>16</v>
      </c>
      <c r="F65" s="34">
        <f>(F33*F26+F37*F27)*F12/F48</f>
        <v>8.314760907051344E-2</v>
      </c>
    </row>
    <row r="66" spans="1:6" s="22" customFormat="1" ht="30">
      <c r="A66" s="22" t="s">
        <v>16</v>
      </c>
      <c r="B66" s="22" t="s">
        <v>390</v>
      </c>
      <c r="C66" s="22" t="s">
        <v>878</v>
      </c>
      <c r="D66" s="5" t="s">
        <v>879</v>
      </c>
      <c r="E66" s="22" t="s">
        <v>16</v>
      </c>
      <c r="F66" s="34">
        <f>(F34*F28+F35*F29+F36*F30)*F13/F48</f>
        <v>0.47466300780598153</v>
      </c>
    </row>
    <row r="67" spans="1:6" s="22" customFormat="1" ht="30">
      <c r="A67" s="22" t="s">
        <v>16</v>
      </c>
      <c r="B67" s="22" t="s">
        <v>390</v>
      </c>
      <c r="C67" s="22" t="s">
        <v>880</v>
      </c>
      <c r="D67" s="5" t="s">
        <v>881</v>
      </c>
      <c r="E67" s="22" t="s">
        <v>16</v>
      </c>
      <c r="F67" s="34">
        <f>F38*F31*F14/F48</f>
        <v>4.1562679621011261E-2</v>
      </c>
    </row>
    <row r="68" spans="1:6" s="86" customFormat="1" ht="18.75">
      <c r="A68" s="135"/>
      <c r="B68" s="135"/>
      <c r="D68" s="135" t="s">
        <v>882</v>
      </c>
      <c r="E68" s="136"/>
      <c r="F68" s="136"/>
    </row>
    <row r="69" spans="1:6" s="22" customFormat="1" ht="30">
      <c r="A69" s="22" t="s">
        <v>16</v>
      </c>
      <c r="B69" s="22" t="s">
        <v>390</v>
      </c>
      <c r="C69" s="22" t="s">
        <v>883</v>
      </c>
      <c r="D69" s="5" t="s">
        <v>884</v>
      </c>
      <c r="E69" s="22" t="s">
        <v>16</v>
      </c>
      <c r="F69" s="34">
        <f>(F42*(1-F52/100)*F50)*F19/100</f>
        <v>20523.291091650441</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CA182-68F7-445E-B43A-05CE4847F5E9}">
  <dimension ref="A1:I205"/>
  <sheetViews>
    <sheetView topLeftCell="B3" workbookViewId="0">
      <selection activeCell="I8" sqref="I8"/>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c r="A1" s="172" t="s">
        <v>360</v>
      </c>
      <c r="B1" s="172" t="s">
        <v>9</v>
      </c>
      <c r="C1" s="172" t="s">
        <v>8</v>
      </c>
      <c r="D1" s="172" t="s">
        <v>7</v>
      </c>
      <c r="E1" s="172" t="s">
        <v>1</v>
      </c>
      <c r="F1" s="172" t="s">
        <v>362</v>
      </c>
      <c r="G1" s="172" t="s">
        <v>363</v>
      </c>
      <c r="H1" s="172" t="s">
        <v>364</v>
      </c>
      <c r="I1" s="172" t="s">
        <v>885</v>
      </c>
    </row>
    <row r="2" spans="1:9" ht="18.75">
      <c r="A2" s="196" t="s">
        <v>886</v>
      </c>
      <c r="B2" s="196"/>
      <c r="C2" s="196"/>
      <c r="D2" s="196"/>
      <c r="E2" s="196"/>
      <c r="F2" s="196"/>
      <c r="G2" s="196"/>
      <c r="H2" s="196"/>
      <c r="I2" s="99"/>
    </row>
    <row r="3" spans="1:9" ht="45">
      <c r="A3" s="99" t="s">
        <v>14</v>
      </c>
      <c r="B3" s="99"/>
      <c r="C3" s="99" t="s">
        <v>16</v>
      </c>
      <c r="D3" s="99" t="s">
        <v>15</v>
      </c>
      <c r="E3" s="99" t="s">
        <v>81</v>
      </c>
      <c r="F3" s="1" t="s">
        <v>887</v>
      </c>
      <c r="G3" s="99"/>
      <c r="H3" s="99"/>
      <c r="I3" s="162" t="s">
        <v>888</v>
      </c>
    </row>
    <row r="4" spans="1:9" ht="18.75">
      <c r="A4" s="196" t="s">
        <v>889</v>
      </c>
      <c r="B4" s="196"/>
      <c r="C4" s="196"/>
      <c r="D4" s="196"/>
      <c r="E4" s="196"/>
      <c r="F4" s="196"/>
      <c r="G4" s="196"/>
      <c r="H4" s="196"/>
      <c r="I4" s="99"/>
    </row>
    <row r="5" spans="1:9" ht="45">
      <c r="A5" s="137" t="s">
        <v>14</v>
      </c>
      <c r="B5" s="137"/>
      <c r="C5" s="137" t="s">
        <v>16</v>
      </c>
      <c r="D5" s="137" t="s">
        <v>668</v>
      </c>
      <c r="E5" s="25"/>
      <c r="F5" s="26" t="s">
        <v>890</v>
      </c>
      <c r="G5" s="25" t="s">
        <v>891</v>
      </c>
      <c r="H5" s="26" t="s">
        <v>892</v>
      </c>
    </row>
    <row r="6" spans="1:9" ht="30">
      <c r="A6" s="137" t="s">
        <v>14</v>
      </c>
      <c r="B6" s="137"/>
      <c r="C6" s="137" t="s">
        <v>16</v>
      </c>
      <c r="D6" s="137" t="s">
        <v>668</v>
      </c>
      <c r="E6" s="25"/>
      <c r="F6" s="26" t="s">
        <v>893</v>
      </c>
      <c r="G6" s="25" t="s">
        <v>16</v>
      </c>
      <c r="H6" s="26" t="s">
        <v>894</v>
      </c>
    </row>
    <row r="7" spans="1:9" ht="30">
      <c r="A7" s="137" t="s">
        <v>14</v>
      </c>
      <c r="B7" s="137"/>
      <c r="C7" s="137" t="s">
        <v>16</v>
      </c>
      <c r="D7" s="137" t="s">
        <v>668</v>
      </c>
      <c r="E7" s="25"/>
      <c r="F7" s="26" t="s">
        <v>895</v>
      </c>
      <c r="G7" s="25" t="s">
        <v>16</v>
      </c>
      <c r="H7" s="26" t="s">
        <v>896</v>
      </c>
    </row>
    <row r="8" spans="1:9" ht="30">
      <c r="A8" s="137" t="s">
        <v>14</v>
      </c>
      <c r="B8" s="137"/>
      <c r="C8" s="137" t="s">
        <v>16</v>
      </c>
      <c r="D8" s="137" t="s">
        <v>668</v>
      </c>
      <c r="E8" s="25"/>
      <c r="F8" s="26" t="s">
        <v>897</v>
      </c>
      <c r="G8" s="25" t="s">
        <v>16</v>
      </c>
      <c r="H8" s="26" t="s">
        <v>898</v>
      </c>
    </row>
    <row r="9" spans="1:9" ht="30">
      <c r="A9" s="137" t="s">
        <v>14</v>
      </c>
      <c r="B9" s="137"/>
      <c r="C9" s="137" t="s">
        <v>16</v>
      </c>
      <c r="D9" s="137" t="s">
        <v>668</v>
      </c>
      <c r="E9" s="25"/>
      <c r="F9" s="26" t="s">
        <v>899</v>
      </c>
      <c r="G9" s="25" t="s">
        <v>16</v>
      </c>
      <c r="H9" s="26" t="s">
        <v>898</v>
      </c>
    </row>
    <row r="10" spans="1:9" ht="45">
      <c r="A10" s="137" t="s">
        <v>14</v>
      </c>
      <c r="B10" s="137"/>
      <c r="C10" s="137" t="s">
        <v>16</v>
      </c>
      <c r="D10" s="137" t="s">
        <v>668</v>
      </c>
      <c r="E10" s="25"/>
      <c r="F10" s="26" t="s">
        <v>900</v>
      </c>
      <c r="G10" s="25" t="s">
        <v>14</v>
      </c>
      <c r="H10" s="26" t="s">
        <v>901</v>
      </c>
    </row>
    <row r="11" spans="1:9" ht="18.75">
      <c r="A11" s="196" t="s">
        <v>902</v>
      </c>
      <c r="B11" s="196"/>
      <c r="C11" s="196"/>
      <c r="D11" s="196"/>
      <c r="E11" s="196"/>
      <c r="F11" s="196"/>
      <c r="G11" s="196"/>
      <c r="H11" s="196"/>
      <c r="I11" s="99"/>
    </row>
    <row r="12" spans="1:9">
      <c r="A12" s="99"/>
      <c r="B12" s="99"/>
      <c r="C12" s="99"/>
      <c r="D12" s="99"/>
    </row>
    <row r="13" spans="1:9">
      <c r="A13" s="99"/>
      <c r="B13" s="99"/>
      <c r="C13" s="99"/>
      <c r="D13" s="99"/>
    </row>
    <row r="14" spans="1:9">
      <c r="A14" s="99"/>
      <c r="B14" s="99"/>
      <c r="C14" s="99"/>
      <c r="D14" s="99"/>
    </row>
    <row r="15" spans="1:9">
      <c r="A15" s="99"/>
      <c r="B15" s="99"/>
      <c r="C15" s="99"/>
      <c r="D15" s="99"/>
    </row>
    <row r="16" spans="1:9">
      <c r="B16" s="99"/>
      <c r="C16" s="99"/>
      <c r="D16" s="99"/>
    </row>
    <row r="17" spans="4:4">
      <c r="D17" s="99"/>
    </row>
    <row r="18" spans="4:4">
      <c r="D18" s="99"/>
    </row>
    <row r="19" spans="4:4">
      <c r="D19" s="99"/>
    </row>
    <row r="20" spans="4:4">
      <c r="D20" s="99"/>
    </row>
    <row r="21" spans="4:4">
      <c r="D21" s="99"/>
    </row>
    <row r="22" spans="4:4">
      <c r="D22" s="99"/>
    </row>
    <row r="23" spans="4:4">
      <c r="D23" s="99"/>
    </row>
    <row r="24" spans="4:4">
      <c r="D24" s="99"/>
    </row>
    <row r="25" spans="4:4">
      <c r="D25" s="99"/>
    </row>
    <row r="26" spans="4:4">
      <c r="D26" s="99"/>
    </row>
    <row r="27" spans="4:4">
      <c r="D27" s="99"/>
    </row>
    <row r="28" spans="4:4">
      <c r="D28" s="99"/>
    </row>
    <row r="29" spans="4:4">
      <c r="D29" s="99"/>
    </row>
    <row r="30" spans="4:4">
      <c r="D30" s="99"/>
    </row>
    <row r="31" spans="4:4">
      <c r="D31" s="99"/>
    </row>
    <row r="32" spans="4:4">
      <c r="D32" s="99"/>
    </row>
    <row r="33" spans="4:4">
      <c r="D33" s="99"/>
    </row>
    <row r="34" spans="4:4">
      <c r="D34" s="99"/>
    </row>
    <row r="35" spans="4:4">
      <c r="D35" s="99"/>
    </row>
    <row r="36" spans="4:4">
      <c r="D36" s="99"/>
    </row>
    <row r="37" spans="4:4">
      <c r="D37" s="99"/>
    </row>
    <row r="38" spans="4:4">
      <c r="D38" s="99"/>
    </row>
    <row r="39" spans="4:4">
      <c r="D39" s="99"/>
    </row>
    <row r="40" spans="4:4">
      <c r="D40" s="99"/>
    </row>
    <row r="41" spans="4:4">
      <c r="D41" s="99"/>
    </row>
    <row r="42" spans="4:4">
      <c r="D42" s="99"/>
    </row>
    <row r="43" spans="4:4">
      <c r="D43" s="99"/>
    </row>
    <row r="44" spans="4:4">
      <c r="D44" s="99"/>
    </row>
    <row r="45" spans="4:4">
      <c r="D45" s="99"/>
    </row>
    <row r="46" spans="4:4">
      <c r="D46" s="99"/>
    </row>
    <row r="47" spans="4:4">
      <c r="D47" s="99"/>
    </row>
    <row r="48" spans="4:4">
      <c r="D48" s="99"/>
    </row>
    <row r="49" spans="4:4">
      <c r="D49" s="99"/>
    </row>
    <row r="50" spans="4:4">
      <c r="D50" s="99"/>
    </row>
    <row r="51" spans="4:4">
      <c r="D51" s="99"/>
    </row>
    <row r="52" spans="4:4">
      <c r="D52" s="99"/>
    </row>
    <row r="53" spans="4:4">
      <c r="D53" s="99"/>
    </row>
    <row r="54" spans="4:4">
      <c r="D54" s="99"/>
    </row>
    <row r="55" spans="4:4">
      <c r="D55" s="99"/>
    </row>
    <row r="56" spans="4:4">
      <c r="D56" s="99"/>
    </row>
    <row r="57" spans="4:4">
      <c r="D57" s="99"/>
    </row>
    <row r="58" spans="4:4">
      <c r="D58" s="99"/>
    </row>
    <row r="59" spans="4:4">
      <c r="D59" s="99"/>
    </row>
    <row r="60" spans="4:4">
      <c r="D60" s="99"/>
    </row>
    <row r="61" spans="4:4">
      <c r="D61" s="99"/>
    </row>
    <row r="62" spans="4:4">
      <c r="D62" s="99"/>
    </row>
    <row r="63" spans="4:4">
      <c r="D63" s="99"/>
    </row>
    <row r="64" spans="4:4">
      <c r="D64" s="99"/>
    </row>
    <row r="65" spans="4:4">
      <c r="D65" s="99"/>
    </row>
    <row r="66" spans="4:4">
      <c r="D66" s="99"/>
    </row>
    <row r="67" spans="4:4">
      <c r="D67" s="99"/>
    </row>
    <row r="68" spans="4:4">
      <c r="D68" s="99"/>
    </row>
    <row r="69" spans="4:4">
      <c r="D69" s="99"/>
    </row>
    <row r="70" spans="4:4">
      <c r="D70" s="99"/>
    </row>
    <row r="71" spans="4:4">
      <c r="D71" s="99"/>
    </row>
    <row r="72" spans="4:4">
      <c r="D72" s="99"/>
    </row>
    <row r="73" spans="4:4">
      <c r="D73" s="99"/>
    </row>
    <row r="74" spans="4:4">
      <c r="D74" s="99"/>
    </row>
    <row r="75" spans="4:4">
      <c r="D75" s="99"/>
    </row>
    <row r="76" spans="4:4">
      <c r="D76" s="99"/>
    </row>
    <row r="77" spans="4:4">
      <c r="D77" s="99"/>
    </row>
    <row r="78" spans="4:4">
      <c r="D78" s="99"/>
    </row>
    <row r="79" spans="4:4">
      <c r="D79" s="99"/>
    </row>
    <row r="80" spans="4:4">
      <c r="D80" s="99"/>
    </row>
    <row r="81" spans="4:4">
      <c r="D81" s="99"/>
    </row>
    <row r="82" spans="4:4">
      <c r="D82" s="99"/>
    </row>
    <row r="83" spans="4:4">
      <c r="D83" s="99"/>
    </row>
    <row r="84" spans="4:4">
      <c r="D84" s="99"/>
    </row>
    <row r="85" spans="4:4">
      <c r="D85" s="99"/>
    </row>
    <row r="86" spans="4:4">
      <c r="D86" s="99"/>
    </row>
    <row r="87" spans="4:4">
      <c r="D87" s="99"/>
    </row>
    <row r="88" spans="4:4">
      <c r="D88" s="99"/>
    </row>
    <row r="89" spans="4:4">
      <c r="D89" s="99"/>
    </row>
    <row r="90" spans="4:4">
      <c r="D90" s="99"/>
    </row>
    <row r="91" spans="4:4">
      <c r="D91" s="99"/>
    </row>
    <row r="92" spans="4:4">
      <c r="D92" s="99"/>
    </row>
    <row r="93" spans="4:4">
      <c r="D93" s="99"/>
    </row>
    <row r="94" spans="4:4">
      <c r="D94" s="99"/>
    </row>
    <row r="95" spans="4:4">
      <c r="D95" s="99"/>
    </row>
    <row r="96" spans="4:4">
      <c r="D96" s="99"/>
    </row>
    <row r="97" spans="4:4">
      <c r="D97" s="99"/>
    </row>
    <row r="98" spans="4:4">
      <c r="D98" s="99"/>
    </row>
    <row r="99" spans="4:4">
      <c r="D99" s="99"/>
    </row>
    <row r="100" spans="4:4">
      <c r="D100" s="99"/>
    </row>
    <row r="101" spans="4:4">
      <c r="D101" s="99"/>
    </row>
    <row r="102" spans="4:4">
      <c r="D102" s="99"/>
    </row>
    <row r="103" spans="4:4">
      <c r="D103" s="99"/>
    </row>
    <row r="104" spans="4:4">
      <c r="D104" s="99"/>
    </row>
    <row r="105" spans="4:4">
      <c r="D105" s="99"/>
    </row>
    <row r="106" spans="4:4">
      <c r="D106" s="99"/>
    </row>
    <row r="107" spans="4:4">
      <c r="D107" s="99"/>
    </row>
    <row r="108" spans="4:4">
      <c r="D108" s="99"/>
    </row>
    <row r="109" spans="4:4">
      <c r="D109" s="99"/>
    </row>
    <row r="110" spans="4:4">
      <c r="D110" s="99"/>
    </row>
    <row r="111" spans="4:4">
      <c r="D111" s="99"/>
    </row>
    <row r="112" spans="4:4">
      <c r="D112" s="99"/>
    </row>
    <row r="113" spans="4:4">
      <c r="D113" s="99"/>
    </row>
    <row r="114" spans="4:4">
      <c r="D114" s="99"/>
    </row>
    <row r="115" spans="4:4">
      <c r="D115" s="99"/>
    </row>
    <row r="116" spans="4:4">
      <c r="D116" s="99"/>
    </row>
    <row r="117" spans="4:4">
      <c r="D117" s="99"/>
    </row>
    <row r="118" spans="4:4">
      <c r="D118" s="99"/>
    </row>
    <row r="119" spans="4:4">
      <c r="D119" s="99"/>
    </row>
    <row r="120" spans="4:4">
      <c r="D120" s="99"/>
    </row>
    <row r="121" spans="4:4">
      <c r="D121" s="99"/>
    </row>
    <row r="122" spans="4:4">
      <c r="D122" s="99"/>
    </row>
    <row r="123" spans="4:4">
      <c r="D123" s="99"/>
    </row>
    <row r="124" spans="4:4">
      <c r="D124" s="99"/>
    </row>
    <row r="125" spans="4:4">
      <c r="D125" s="99"/>
    </row>
    <row r="126" spans="4:4">
      <c r="D126" s="99"/>
    </row>
    <row r="127" spans="4:4">
      <c r="D127" s="99"/>
    </row>
    <row r="128" spans="4:4">
      <c r="D128" s="99"/>
    </row>
    <row r="129" spans="4:4">
      <c r="D129" s="99"/>
    </row>
    <row r="130" spans="4:4">
      <c r="D130" s="99"/>
    </row>
    <row r="131" spans="4:4">
      <c r="D131" s="99"/>
    </row>
    <row r="132" spans="4:4">
      <c r="D132" s="99"/>
    </row>
    <row r="133" spans="4:4">
      <c r="D133" s="99"/>
    </row>
    <row r="134" spans="4:4">
      <c r="D134" s="99"/>
    </row>
    <row r="135" spans="4:4">
      <c r="D135" s="99"/>
    </row>
    <row r="136" spans="4:4">
      <c r="D136" s="99"/>
    </row>
    <row r="137" spans="4:4">
      <c r="D137" s="99"/>
    </row>
    <row r="138" spans="4:4">
      <c r="D138" s="99"/>
    </row>
    <row r="139" spans="4:4">
      <c r="D139" s="99"/>
    </row>
    <row r="140" spans="4:4">
      <c r="D140" s="99"/>
    </row>
    <row r="141" spans="4:4">
      <c r="D141" s="99"/>
    </row>
    <row r="142" spans="4:4">
      <c r="D142" s="99"/>
    </row>
    <row r="143" spans="4:4">
      <c r="D143" s="99"/>
    </row>
    <row r="144" spans="4:4">
      <c r="D144" s="99"/>
    </row>
    <row r="145" spans="4:4">
      <c r="D145" s="99"/>
    </row>
    <row r="146" spans="4:4">
      <c r="D146" s="99"/>
    </row>
    <row r="147" spans="4:4">
      <c r="D147" s="99"/>
    </row>
    <row r="148" spans="4:4">
      <c r="D148" s="99"/>
    </row>
    <row r="149" spans="4:4">
      <c r="D149" s="99"/>
    </row>
    <row r="150" spans="4:4">
      <c r="D150" s="99"/>
    </row>
    <row r="151" spans="4:4">
      <c r="D151" s="99"/>
    </row>
    <row r="152" spans="4:4">
      <c r="D152" s="99"/>
    </row>
    <row r="153" spans="4:4">
      <c r="D153" s="99"/>
    </row>
    <row r="154" spans="4:4">
      <c r="D154" s="99"/>
    </row>
    <row r="155" spans="4:4">
      <c r="D155" s="99"/>
    </row>
    <row r="156" spans="4:4">
      <c r="D156" s="99"/>
    </row>
    <row r="157" spans="4:4">
      <c r="D157" s="99"/>
    </row>
    <row r="158" spans="4:4">
      <c r="D158" s="99"/>
    </row>
    <row r="159" spans="4:4">
      <c r="D159" s="99"/>
    </row>
    <row r="160" spans="4:4">
      <c r="D160" s="99"/>
    </row>
    <row r="161" spans="4:4">
      <c r="D161" s="99"/>
    </row>
    <row r="162" spans="4:4">
      <c r="D162" s="99"/>
    </row>
    <row r="163" spans="4:4">
      <c r="D163" s="99"/>
    </row>
    <row r="164" spans="4:4">
      <c r="D164" s="99"/>
    </row>
    <row r="165" spans="4:4">
      <c r="D165" s="99"/>
    </row>
    <row r="166" spans="4:4">
      <c r="D166" s="99"/>
    </row>
    <row r="167" spans="4:4">
      <c r="D167" s="99"/>
    </row>
    <row r="168" spans="4:4">
      <c r="D168" s="99"/>
    </row>
    <row r="169" spans="4:4">
      <c r="D169" s="99"/>
    </row>
    <row r="170" spans="4:4">
      <c r="D170" s="99"/>
    </row>
    <row r="171" spans="4:4">
      <c r="D171" s="99"/>
    </row>
    <row r="172" spans="4:4">
      <c r="D172" s="99"/>
    </row>
    <row r="173" spans="4:4">
      <c r="D173" s="99"/>
    </row>
    <row r="174" spans="4:4">
      <c r="D174" s="99"/>
    </row>
    <row r="175" spans="4:4">
      <c r="D175" s="99"/>
    </row>
    <row r="176" spans="4:4">
      <c r="D176" s="99"/>
    </row>
    <row r="177" spans="4:4">
      <c r="D177" s="99"/>
    </row>
    <row r="178" spans="4:4">
      <c r="D178" s="99"/>
    </row>
    <row r="179" spans="4:4">
      <c r="D179" s="99"/>
    </row>
    <row r="180" spans="4:4">
      <c r="D180" s="99"/>
    </row>
    <row r="181" spans="4:4">
      <c r="D181" s="99"/>
    </row>
    <row r="182" spans="4:4">
      <c r="D182" s="99"/>
    </row>
    <row r="183" spans="4:4">
      <c r="D183" s="99"/>
    </row>
    <row r="184" spans="4:4">
      <c r="D184" s="99"/>
    </row>
    <row r="185" spans="4:4">
      <c r="D185" s="99"/>
    </row>
    <row r="186" spans="4:4">
      <c r="D186" s="99"/>
    </row>
    <row r="187" spans="4:4">
      <c r="D187" s="99"/>
    </row>
    <row r="188" spans="4:4">
      <c r="D188" s="99"/>
    </row>
    <row r="189" spans="4:4">
      <c r="D189" s="99"/>
    </row>
    <row r="190" spans="4:4">
      <c r="D190" s="99"/>
    </row>
    <row r="191" spans="4:4">
      <c r="D191" s="99"/>
    </row>
    <row r="192" spans="4:4">
      <c r="D192" s="99"/>
    </row>
    <row r="193" spans="4:4">
      <c r="D193" s="99"/>
    </row>
    <row r="194" spans="4:4">
      <c r="D194" s="99"/>
    </row>
    <row r="195" spans="4:4">
      <c r="D195" s="99"/>
    </row>
    <row r="196" spans="4:4">
      <c r="D196" s="99"/>
    </row>
    <row r="197" spans="4:4">
      <c r="D197" s="99"/>
    </row>
    <row r="198" spans="4:4">
      <c r="D198" s="99"/>
    </row>
    <row r="199" spans="4:4">
      <c r="D199" s="99"/>
    </row>
    <row r="200" spans="4:4">
      <c r="D200" s="99"/>
    </row>
    <row r="201" spans="4:4">
      <c r="D201" s="99"/>
    </row>
    <row r="202" spans="4:4">
      <c r="D202" s="99"/>
    </row>
    <row r="203" spans="4:4">
      <c r="D203" s="99"/>
    </row>
    <row r="204" spans="4:4">
      <c r="D204" s="99"/>
    </row>
    <row r="205" spans="4:4">
      <c r="D205" s="99"/>
    </row>
  </sheetData>
  <mergeCells count="3">
    <mergeCell ref="A2:H2"/>
    <mergeCell ref="A4:H4"/>
    <mergeCell ref="A11:H11"/>
  </mergeCells>
  <dataValidations count="3">
    <dataValidation type="list" allowBlank="1" showInputMessage="1" showErrorMessage="1" sqref="A12:A15 A3:C3 G6:G10 A5:C10 B12:C16 A44:A200 B44:C203" xr:uid="{BA483D69-9C28-42E4-9DE4-18080ADBDD14}">
      <formula1>"Yes, No"</formula1>
    </dataValidation>
    <dataValidation type="list" allowBlank="1" showInputMessage="1" showErrorMessage="1" sqref="G5" xr:uid="{60312121-DBC1-43A4-8421-53FE4BFB7890}">
      <formula1>"Hourly, Annual"</formula1>
    </dataValidation>
    <dataValidation type="list" allowBlank="1" showInputMessage="1" showErrorMessage="1" sqref="D3 D5:D10 D12:D205" xr:uid="{2847F22C-BA55-4CF1-A2CE-AF3674D43553}">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014CA-4DBD-45AF-ABCB-F689DEE5AB3E}">
  <dimension ref="A1:H51"/>
  <sheetViews>
    <sheetView workbookViewId="0">
      <selection activeCell="I8" sqref="I8"/>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173" t="s">
        <v>360</v>
      </c>
      <c r="B1" s="173" t="s">
        <v>9</v>
      </c>
      <c r="C1" s="173" t="s">
        <v>8</v>
      </c>
      <c r="D1" s="172" t="s">
        <v>7</v>
      </c>
      <c r="E1" s="172" t="s">
        <v>1</v>
      </c>
      <c r="F1" s="172" t="s">
        <v>362</v>
      </c>
      <c r="G1" s="172" t="s">
        <v>363</v>
      </c>
      <c r="H1" s="172" t="s">
        <v>364</v>
      </c>
    </row>
    <row r="2" spans="1:8" ht="18.75">
      <c r="A2" s="196" t="s">
        <v>903</v>
      </c>
      <c r="B2" s="196"/>
      <c r="C2" s="196"/>
      <c r="D2" s="196"/>
      <c r="E2" s="196"/>
      <c r="F2" s="196"/>
      <c r="G2" s="196"/>
      <c r="H2" s="196"/>
    </row>
    <row r="3" spans="1:8" ht="90">
      <c r="A3" s="99" t="s">
        <v>14</v>
      </c>
      <c r="B3" s="99"/>
      <c r="C3" s="99" t="s">
        <v>16</v>
      </c>
      <c r="D3" s="99" t="s">
        <v>668</v>
      </c>
      <c r="E3" s="99" t="s">
        <v>904</v>
      </c>
      <c r="F3" s="1" t="s">
        <v>905</v>
      </c>
      <c r="G3" t="s">
        <v>347</v>
      </c>
    </row>
    <row r="4" spans="1:8">
      <c r="A4" s="174" t="s">
        <v>14</v>
      </c>
      <c r="B4" s="174"/>
      <c r="C4" s="174" t="s">
        <v>16</v>
      </c>
      <c r="D4" s="174" t="s">
        <v>906</v>
      </c>
      <c r="E4" s="22" t="s">
        <v>907</v>
      </c>
      <c r="F4" s="5" t="s">
        <v>908</v>
      </c>
      <c r="G4" s="34">
        <f>IF(AND(G3="Option A"),G6,IF(AND(G3="Option B"),G30))</f>
        <v>0.5164879</v>
      </c>
      <c r="H4" s="22"/>
    </row>
    <row r="5" spans="1:8" ht="18.75">
      <c r="A5" s="196" t="s">
        <v>909</v>
      </c>
      <c r="B5" s="196"/>
      <c r="C5" s="196"/>
      <c r="D5" s="196"/>
      <c r="E5" s="196"/>
      <c r="F5" s="196"/>
      <c r="G5" s="196"/>
      <c r="H5" s="196"/>
    </row>
    <row r="6" spans="1:8">
      <c r="A6" s="174" t="s">
        <v>14</v>
      </c>
      <c r="B6" s="174"/>
      <c r="C6" s="174" t="s">
        <v>16</v>
      </c>
      <c r="D6" s="174" t="s">
        <v>906</v>
      </c>
      <c r="E6" s="22" t="s">
        <v>907</v>
      </c>
      <c r="F6" s="5" t="s">
        <v>908</v>
      </c>
      <c r="G6" s="34">
        <f>SUM(((G14*G11)/G14),((G23*G22)/G23),((G28*G27)/G28))</f>
        <v>0.5164879</v>
      </c>
      <c r="H6" s="22"/>
    </row>
    <row r="7" spans="1:8" ht="18.75">
      <c r="A7" s="196" t="s">
        <v>910</v>
      </c>
      <c r="B7" s="196"/>
      <c r="C7" s="196"/>
      <c r="D7" s="196"/>
      <c r="E7" s="196"/>
      <c r="F7" s="196"/>
      <c r="G7" s="196"/>
      <c r="H7" s="196"/>
    </row>
    <row r="8" spans="1:8" ht="18.75">
      <c r="A8" s="196" t="s">
        <v>911</v>
      </c>
      <c r="B8" s="196"/>
      <c r="C8" s="196"/>
      <c r="D8" s="196"/>
      <c r="E8" s="196"/>
      <c r="F8" s="196"/>
      <c r="G8" s="196"/>
      <c r="H8" s="196"/>
    </row>
    <row r="9" spans="1:8" ht="105">
      <c r="A9" s="99" t="s">
        <v>14</v>
      </c>
      <c r="B9" s="99"/>
      <c r="C9" s="99" t="s">
        <v>14</v>
      </c>
      <c r="D9" s="99" t="s">
        <v>668</v>
      </c>
      <c r="E9" t="s">
        <v>904</v>
      </c>
      <c r="F9" s="1" t="s">
        <v>912</v>
      </c>
      <c r="G9" t="s">
        <v>913</v>
      </c>
    </row>
    <row r="10" spans="1:8" ht="18.75">
      <c r="A10" s="196" t="s">
        <v>913</v>
      </c>
      <c r="B10" s="196"/>
      <c r="C10" s="196"/>
      <c r="D10" s="196"/>
      <c r="E10" s="196"/>
      <c r="F10" s="196"/>
      <c r="G10" s="196"/>
      <c r="H10" s="196"/>
    </row>
    <row r="11" spans="1:8">
      <c r="A11" s="174" t="s">
        <v>14</v>
      </c>
      <c r="B11" s="174"/>
      <c r="C11" s="174" t="s">
        <v>16</v>
      </c>
      <c r="D11" s="174" t="s">
        <v>906</v>
      </c>
      <c r="E11" s="22" t="s">
        <v>914</v>
      </c>
      <c r="F11" s="22" t="s">
        <v>915</v>
      </c>
      <c r="G11" s="34">
        <f>SUM((G18*G19*G20)/G14)</f>
        <v>7.0087900000000009E-2</v>
      </c>
      <c r="H11" s="22"/>
    </row>
    <row r="12" spans="1:8">
      <c r="A12" s="59" t="s">
        <v>14</v>
      </c>
      <c r="B12" s="59"/>
      <c r="C12" s="99" t="s">
        <v>14</v>
      </c>
      <c r="D12" s="99" t="s">
        <v>15</v>
      </c>
      <c r="E12" s="59" t="s">
        <v>916</v>
      </c>
      <c r="F12" s="59" t="s">
        <v>917</v>
      </c>
      <c r="G12" s="59"/>
      <c r="H12" s="59"/>
    </row>
    <row r="13" spans="1:8" ht="30">
      <c r="A13" s="59" t="s">
        <v>14</v>
      </c>
      <c r="B13" s="99"/>
      <c r="C13" s="99" t="s">
        <v>14</v>
      </c>
      <c r="D13" s="99" t="s">
        <v>15</v>
      </c>
      <c r="E13" t="s">
        <v>918</v>
      </c>
      <c r="F13" s="1" t="s">
        <v>919</v>
      </c>
      <c r="G13" t="s">
        <v>920</v>
      </c>
    </row>
    <row r="14" spans="1:8" ht="30">
      <c r="A14" s="59" t="s">
        <v>14</v>
      </c>
      <c r="B14" s="99"/>
      <c r="C14" s="99" t="s">
        <v>14</v>
      </c>
      <c r="D14" s="99" t="s">
        <v>91</v>
      </c>
      <c r="E14" t="s">
        <v>921</v>
      </c>
      <c r="F14" s="1" t="s">
        <v>922</v>
      </c>
      <c r="G14" s="41">
        <v>40</v>
      </c>
    </row>
    <row r="15" spans="1:8">
      <c r="A15" s="59" t="s">
        <v>14</v>
      </c>
      <c r="B15" s="99"/>
      <c r="C15" s="99" t="s">
        <v>14</v>
      </c>
      <c r="D15" s="99" t="s">
        <v>15</v>
      </c>
      <c r="E15" t="s">
        <v>528</v>
      </c>
      <c r="F15" t="s">
        <v>923</v>
      </c>
      <c r="G15" s="41">
        <v>2009</v>
      </c>
    </row>
    <row r="16" spans="1:8" ht="18.75">
      <c r="A16" s="192" t="s">
        <v>924</v>
      </c>
      <c r="B16" s="192"/>
      <c r="C16" s="192"/>
      <c r="D16" s="192"/>
      <c r="E16" s="192"/>
      <c r="F16" s="192"/>
      <c r="G16" s="192"/>
      <c r="H16" s="192"/>
    </row>
    <row r="17" spans="1:8">
      <c r="A17" s="41" t="s">
        <v>14</v>
      </c>
      <c r="B17" s="59"/>
      <c r="C17" s="59" t="s">
        <v>14</v>
      </c>
      <c r="D17" s="99" t="s">
        <v>15</v>
      </c>
      <c r="E17" s="59" t="s">
        <v>916</v>
      </c>
      <c r="F17" s="59" t="s">
        <v>917</v>
      </c>
      <c r="G17" s="59" t="s">
        <v>925</v>
      </c>
      <c r="H17" s="59"/>
    </row>
    <row r="18" spans="1:8" ht="30">
      <c r="A18" s="41" t="s">
        <v>14</v>
      </c>
      <c r="C18" s="99" t="s">
        <v>14</v>
      </c>
      <c r="D18" s="99" t="s">
        <v>91</v>
      </c>
      <c r="E18" t="s">
        <v>926</v>
      </c>
      <c r="F18" s="1" t="s">
        <v>927</v>
      </c>
      <c r="G18" s="41">
        <v>1</v>
      </c>
    </row>
    <row r="19" spans="1:8" ht="30">
      <c r="A19" s="41" t="s">
        <v>14</v>
      </c>
      <c r="C19" s="99" t="s">
        <v>14</v>
      </c>
      <c r="D19" s="99" t="s">
        <v>91</v>
      </c>
      <c r="E19" t="s">
        <v>928</v>
      </c>
      <c r="F19" s="1" t="s">
        <v>929</v>
      </c>
      <c r="G19" s="41">
        <v>22.609000000000002</v>
      </c>
    </row>
    <row r="20" spans="1:8">
      <c r="A20" s="41" t="s">
        <v>14</v>
      </c>
      <c r="C20" s="99" t="s">
        <v>14</v>
      </c>
      <c r="D20" s="99" t="s">
        <v>91</v>
      </c>
      <c r="E20" t="s">
        <v>930</v>
      </c>
      <c r="F20" t="s">
        <v>931</v>
      </c>
      <c r="G20" s="41">
        <v>0.124</v>
      </c>
    </row>
    <row r="21" spans="1:8" ht="18.75">
      <c r="A21" s="196" t="s">
        <v>630</v>
      </c>
      <c r="B21" s="196"/>
      <c r="C21" s="196"/>
      <c r="D21" s="196"/>
      <c r="E21" s="196"/>
      <c r="F21" s="196"/>
      <c r="G21" s="196"/>
      <c r="H21" s="196"/>
    </row>
    <row r="22" spans="1:8">
      <c r="A22" s="174" t="s">
        <v>14</v>
      </c>
      <c r="B22" s="174"/>
      <c r="C22" s="174" t="s">
        <v>16</v>
      </c>
      <c r="D22" s="174" t="s">
        <v>906</v>
      </c>
      <c r="E22" s="22" t="s">
        <v>914</v>
      </c>
      <c r="F22" s="5" t="s">
        <v>932</v>
      </c>
      <c r="G22" s="34">
        <f>(G24*3.6)/G25</f>
        <v>0.44640000000000002</v>
      </c>
      <c r="H22" s="22"/>
    </row>
    <row r="23" spans="1:8" ht="30">
      <c r="A23" s="99" t="s">
        <v>14</v>
      </c>
      <c r="B23" s="99"/>
      <c r="C23" s="99" t="s">
        <v>14</v>
      </c>
      <c r="D23" s="99" t="s">
        <v>91</v>
      </c>
      <c r="E23" t="s">
        <v>921</v>
      </c>
      <c r="F23" s="1" t="s">
        <v>922</v>
      </c>
      <c r="G23" s="41">
        <v>40</v>
      </c>
    </row>
    <row r="24" spans="1:8" ht="30">
      <c r="A24" s="99" t="s">
        <v>14</v>
      </c>
      <c r="B24" s="99"/>
      <c r="C24" s="99" t="s">
        <v>14</v>
      </c>
      <c r="D24" s="99" t="s">
        <v>91</v>
      </c>
      <c r="E24" t="s">
        <v>933</v>
      </c>
      <c r="F24" s="1" t="s">
        <v>934</v>
      </c>
      <c r="G24" s="41">
        <v>0.124</v>
      </c>
    </row>
    <row r="25" spans="1:8" ht="30">
      <c r="A25" s="99" t="s">
        <v>14</v>
      </c>
      <c r="B25" s="99"/>
      <c r="C25" s="99" t="s">
        <v>14</v>
      </c>
      <c r="D25" s="99" t="s">
        <v>91</v>
      </c>
      <c r="E25" t="s">
        <v>935</v>
      </c>
      <c r="F25" s="1" t="s">
        <v>936</v>
      </c>
      <c r="G25" s="41">
        <v>1</v>
      </c>
    </row>
    <row r="26" spans="1:8" ht="18.75">
      <c r="A26" s="192" t="s">
        <v>937</v>
      </c>
      <c r="B26" s="192"/>
      <c r="C26" s="192"/>
      <c r="D26" s="192"/>
      <c r="E26" s="192"/>
      <c r="F26" s="192"/>
      <c r="G26" s="192"/>
      <c r="H26" s="192"/>
    </row>
    <row r="27" spans="1:8">
      <c r="A27" s="174" t="s">
        <v>14</v>
      </c>
      <c r="B27" s="174"/>
      <c r="C27" s="174" t="s">
        <v>16</v>
      </c>
      <c r="D27" s="174" t="s">
        <v>906</v>
      </c>
      <c r="E27" s="22" t="s">
        <v>914</v>
      </c>
      <c r="F27" s="5" t="s">
        <v>915</v>
      </c>
      <c r="G27" s="34">
        <f>0</f>
        <v>0</v>
      </c>
      <c r="H27" s="22"/>
    </row>
    <row r="28" spans="1:8" ht="30">
      <c r="A28" s="99" t="s">
        <v>14</v>
      </c>
      <c r="B28" s="99"/>
      <c r="C28" s="99" t="s">
        <v>14</v>
      </c>
      <c r="D28" s="99" t="s">
        <v>91</v>
      </c>
      <c r="E28" t="s">
        <v>921</v>
      </c>
      <c r="F28" s="1" t="s">
        <v>922</v>
      </c>
      <c r="G28" s="41">
        <v>40</v>
      </c>
    </row>
    <row r="29" spans="1:8" ht="18.75">
      <c r="A29" s="196" t="s">
        <v>938</v>
      </c>
      <c r="B29" s="196"/>
      <c r="C29" s="196"/>
      <c r="D29" s="196"/>
      <c r="E29" s="196"/>
      <c r="F29" s="196"/>
      <c r="G29" s="196"/>
      <c r="H29" s="196"/>
    </row>
    <row r="30" spans="1:8">
      <c r="A30" s="22" t="s">
        <v>14</v>
      </c>
      <c r="B30" s="22"/>
      <c r="C30" s="22" t="s">
        <v>16</v>
      </c>
      <c r="D30" s="174" t="s">
        <v>906</v>
      </c>
      <c r="E30" s="22" t="s">
        <v>907</v>
      </c>
      <c r="F30" s="22" t="s">
        <v>939</v>
      </c>
      <c r="G30" s="34">
        <f>SUM((G34*G35*G36),(G39*G40*G41),(G44*G45*G46),(G49*G50*G51))/G31</f>
        <v>0.22200625000000002</v>
      </c>
      <c r="H30" s="22"/>
    </row>
    <row r="31" spans="1:8" ht="45">
      <c r="A31" t="s">
        <v>14</v>
      </c>
      <c r="C31" t="s">
        <v>14</v>
      </c>
      <c r="D31" s="99" t="s">
        <v>91</v>
      </c>
      <c r="E31" t="s">
        <v>940</v>
      </c>
      <c r="F31" s="1" t="s">
        <v>941</v>
      </c>
      <c r="G31" s="41">
        <v>40</v>
      </c>
    </row>
    <row r="32" spans="1:8" ht="18.75">
      <c r="A32" s="192" t="s">
        <v>924</v>
      </c>
      <c r="B32" s="192"/>
      <c r="C32" s="192"/>
      <c r="D32" s="192"/>
      <c r="E32" s="192"/>
      <c r="F32" s="192"/>
      <c r="G32" s="192"/>
      <c r="H32" s="192"/>
    </row>
    <row r="33" spans="1:8">
      <c r="A33" s="59" t="s">
        <v>14</v>
      </c>
      <c r="B33" s="59"/>
      <c r="C33" s="59" t="s">
        <v>14</v>
      </c>
      <c r="D33" s="99" t="s">
        <v>15</v>
      </c>
      <c r="E33" s="59" t="s">
        <v>916</v>
      </c>
      <c r="F33" s="59" t="s">
        <v>917</v>
      </c>
      <c r="G33" s="59" t="s">
        <v>925</v>
      </c>
      <c r="H33" s="59"/>
    </row>
    <row r="34" spans="1:8" ht="30">
      <c r="A34" t="s">
        <v>14</v>
      </c>
      <c r="C34" t="s">
        <v>14</v>
      </c>
      <c r="D34" s="99" t="s">
        <v>91</v>
      </c>
      <c r="E34" t="s">
        <v>942</v>
      </c>
      <c r="F34" s="1" t="s">
        <v>927</v>
      </c>
      <c r="G34" s="41">
        <v>1</v>
      </c>
    </row>
    <row r="35" spans="1:8" ht="30">
      <c r="A35" t="s">
        <v>14</v>
      </c>
      <c r="C35" t="s">
        <v>14</v>
      </c>
      <c r="D35" s="99" t="s">
        <v>91</v>
      </c>
      <c r="E35" t="s">
        <v>928</v>
      </c>
      <c r="F35" s="1" t="s">
        <v>929</v>
      </c>
      <c r="G35" s="41">
        <v>22.609000000000002</v>
      </c>
    </row>
    <row r="36" spans="1:8">
      <c r="A36" t="s">
        <v>14</v>
      </c>
      <c r="C36" t="s">
        <v>14</v>
      </c>
      <c r="D36" s="99" t="s">
        <v>91</v>
      </c>
      <c r="E36" t="s">
        <v>930</v>
      </c>
      <c r="F36" t="s">
        <v>931</v>
      </c>
      <c r="G36" s="41">
        <v>0.12</v>
      </c>
    </row>
    <row r="37" spans="1:8" ht="18.75">
      <c r="A37" s="192" t="s">
        <v>924</v>
      </c>
      <c r="B37" s="192"/>
      <c r="C37" s="192"/>
      <c r="D37" s="192"/>
      <c r="E37" s="192"/>
      <c r="F37" s="192"/>
      <c r="G37" s="192"/>
      <c r="H37" s="192"/>
    </row>
    <row r="38" spans="1:8">
      <c r="A38" s="59" t="s">
        <v>14</v>
      </c>
      <c r="B38" s="59"/>
      <c r="C38" s="59" t="s">
        <v>14</v>
      </c>
      <c r="D38" s="99" t="s">
        <v>15</v>
      </c>
      <c r="E38" s="59" t="s">
        <v>916</v>
      </c>
      <c r="F38" s="59" t="s">
        <v>917</v>
      </c>
      <c r="G38" s="59" t="s">
        <v>943</v>
      </c>
      <c r="H38" s="59"/>
    </row>
    <row r="39" spans="1:8" ht="30">
      <c r="A39" s="59" t="s">
        <v>14</v>
      </c>
      <c r="C39" t="s">
        <v>14</v>
      </c>
      <c r="D39" s="99" t="s">
        <v>91</v>
      </c>
      <c r="E39" t="s">
        <v>942</v>
      </c>
      <c r="F39" s="1" t="s">
        <v>927</v>
      </c>
      <c r="G39" s="41">
        <v>1</v>
      </c>
    </row>
    <row r="40" spans="1:8" ht="30">
      <c r="A40" s="59" t="s">
        <v>14</v>
      </c>
      <c r="C40" t="s">
        <v>14</v>
      </c>
      <c r="D40" s="99" t="s">
        <v>91</v>
      </c>
      <c r="E40" t="s">
        <v>928</v>
      </c>
      <c r="F40" s="1" t="s">
        <v>929</v>
      </c>
      <c r="G40" s="41">
        <v>38.936999999999998</v>
      </c>
    </row>
    <row r="41" spans="1:8">
      <c r="A41" s="59" t="s">
        <v>14</v>
      </c>
      <c r="C41" t="s">
        <v>14</v>
      </c>
      <c r="D41" s="99" t="s">
        <v>91</v>
      </c>
      <c r="E41" t="s">
        <v>930</v>
      </c>
      <c r="F41" t="s">
        <v>931</v>
      </c>
      <c r="G41" s="41">
        <v>0.08</v>
      </c>
    </row>
    <row r="42" spans="1:8" ht="18.75">
      <c r="A42" s="192" t="s">
        <v>924</v>
      </c>
      <c r="B42" s="192"/>
      <c r="C42" s="192"/>
      <c r="D42" s="192"/>
      <c r="E42" s="192"/>
      <c r="F42" s="192"/>
      <c r="G42" s="192"/>
      <c r="H42" s="192"/>
    </row>
    <row r="43" spans="1:8">
      <c r="A43" s="59" t="s">
        <v>14</v>
      </c>
      <c r="B43" s="59"/>
      <c r="C43" s="59" t="s">
        <v>14</v>
      </c>
      <c r="D43" s="99" t="s">
        <v>15</v>
      </c>
      <c r="E43" s="59" t="s">
        <v>916</v>
      </c>
      <c r="F43" s="59" t="s">
        <v>917</v>
      </c>
      <c r="G43" s="59" t="s">
        <v>943</v>
      </c>
      <c r="H43" s="59"/>
    </row>
    <row r="44" spans="1:8" ht="30">
      <c r="A44" s="59" t="s">
        <v>14</v>
      </c>
      <c r="C44" t="s">
        <v>14</v>
      </c>
      <c r="D44" s="99" t="s">
        <v>91</v>
      </c>
      <c r="E44" t="s">
        <v>942</v>
      </c>
      <c r="F44" s="1" t="s">
        <v>927</v>
      </c>
      <c r="G44" s="41">
        <v>2</v>
      </c>
    </row>
    <row r="45" spans="1:8" ht="30">
      <c r="A45" s="59" t="s">
        <v>14</v>
      </c>
      <c r="C45" t="s">
        <v>14</v>
      </c>
      <c r="D45" s="99" t="s">
        <v>91</v>
      </c>
      <c r="E45" t="s">
        <v>928</v>
      </c>
      <c r="F45" s="1" t="s">
        <v>929</v>
      </c>
      <c r="G45" s="41">
        <v>3.5000000000000003E-2</v>
      </c>
    </row>
    <row r="46" spans="1:8">
      <c r="A46" s="59" t="s">
        <v>14</v>
      </c>
      <c r="C46" t="s">
        <v>14</v>
      </c>
      <c r="D46" s="99" t="s">
        <v>91</v>
      </c>
      <c r="E46" t="s">
        <v>930</v>
      </c>
      <c r="F46" t="s">
        <v>931</v>
      </c>
      <c r="G46" s="41">
        <v>0.06</v>
      </c>
    </row>
    <row r="47" spans="1:8" ht="18.75">
      <c r="A47" s="192" t="s">
        <v>924</v>
      </c>
      <c r="B47" s="192"/>
      <c r="C47" s="192"/>
      <c r="D47" s="192"/>
      <c r="E47" s="192"/>
      <c r="F47" s="192"/>
      <c r="G47" s="192"/>
      <c r="H47" s="192"/>
    </row>
    <row r="48" spans="1:8">
      <c r="A48" s="59" t="s">
        <v>14</v>
      </c>
      <c r="B48" s="59"/>
      <c r="C48" s="59" t="s">
        <v>14</v>
      </c>
      <c r="D48" s="99" t="s">
        <v>15</v>
      </c>
      <c r="E48" s="59" t="s">
        <v>916</v>
      </c>
      <c r="F48" s="59" t="s">
        <v>917</v>
      </c>
      <c r="G48" s="59" t="s">
        <v>943</v>
      </c>
      <c r="H48" s="59"/>
    </row>
    <row r="49" spans="1:7" ht="30">
      <c r="A49" s="59" t="s">
        <v>14</v>
      </c>
      <c r="C49" t="s">
        <v>14</v>
      </c>
      <c r="D49" s="99" t="s">
        <v>91</v>
      </c>
      <c r="E49" t="s">
        <v>942</v>
      </c>
      <c r="F49" s="1" t="s">
        <v>927</v>
      </c>
      <c r="G49" s="41">
        <v>1</v>
      </c>
    </row>
    <row r="50" spans="1:7" ht="30">
      <c r="A50" s="59" t="s">
        <v>14</v>
      </c>
      <c r="C50" t="s">
        <v>14</v>
      </c>
      <c r="D50" s="99" t="s">
        <v>91</v>
      </c>
      <c r="E50" t="s">
        <v>928</v>
      </c>
      <c r="F50" s="1" t="s">
        <v>929</v>
      </c>
      <c r="G50" s="41">
        <v>43.542999999999999</v>
      </c>
    </row>
    <row r="51" spans="1:7">
      <c r="A51" s="59" t="s">
        <v>14</v>
      </c>
      <c r="C51" t="s">
        <v>14</v>
      </c>
      <c r="D51" s="99" t="s">
        <v>91</v>
      </c>
      <c r="E51" t="s">
        <v>930</v>
      </c>
      <c r="F51" t="s">
        <v>931</v>
      </c>
      <c r="G51" s="41">
        <v>7.0000000000000007E-2</v>
      </c>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G9" xr:uid="{E47B675C-0678-4ED4-802D-E10D77B3DC0D}">
      <formula1>"Option A1, Option A2, Option A3"</formula1>
    </dataValidation>
    <dataValidation type="list" allowBlank="1" showInputMessage="1" showErrorMessage="1" sqref="G3" xr:uid="{AC0B984B-903E-48BC-8488-B0BFC3CABBD5}">
      <formula1>"Option A, Option B"</formula1>
    </dataValidation>
    <dataValidation type="list" allowBlank="1" showInputMessage="1" showErrorMessage="1" sqref="A11:C11 C12 A6:C6 A27:C28 B13:C15 A9:C9 A3:C4 A22:C25" xr:uid="{50231B8D-A3DA-47AD-B3D6-484142E9F74F}">
      <formula1>"Yes, No"</formula1>
    </dataValidation>
    <dataValidation type="list" allowBlank="1" showInputMessage="1" showErrorMessage="1" sqref="D6 D17:D20 D27:D28 D48:D51 D22:D25 D30:D31 D9 D11:D15 D33:D36 D38:D41 D43:D46 D3:D4" xr:uid="{1144D90C-6BD1-4D78-8EAA-EA9CAD051D41}">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4EF75-EFCD-412E-9583-BC07975949B3}">
  <dimension ref="A1:H68"/>
  <sheetViews>
    <sheetView workbookViewId="0">
      <selection activeCell="I8" sqref="I8"/>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173" t="s">
        <v>360</v>
      </c>
      <c r="B1" s="173" t="s">
        <v>9</v>
      </c>
      <c r="C1" s="173" t="s">
        <v>8</v>
      </c>
      <c r="D1" s="172" t="s">
        <v>7</v>
      </c>
      <c r="E1" s="172" t="s">
        <v>1</v>
      </c>
      <c r="F1" s="172" t="s">
        <v>362</v>
      </c>
      <c r="G1" s="172" t="s">
        <v>363</v>
      </c>
      <c r="H1" s="172" t="s">
        <v>364</v>
      </c>
    </row>
    <row r="2" spans="1:8" ht="18.75">
      <c r="A2" s="196" t="s">
        <v>944</v>
      </c>
      <c r="B2" s="196"/>
      <c r="C2" s="196"/>
      <c r="D2" s="196"/>
      <c r="E2" s="196"/>
      <c r="F2" s="196"/>
      <c r="G2" s="196"/>
      <c r="H2" s="196"/>
    </row>
    <row r="3" spans="1:8" ht="135">
      <c r="A3" s="99" t="s">
        <v>14</v>
      </c>
      <c r="B3" s="99"/>
      <c r="C3" s="99" t="s">
        <v>16</v>
      </c>
      <c r="D3" s="99" t="s">
        <v>668</v>
      </c>
      <c r="E3" s="99" t="s">
        <v>435</v>
      </c>
      <c r="F3" s="1" t="s">
        <v>945</v>
      </c>
      <c r="G3" s="99" t="s">
        <v>946</v>
      </c>
      <c r="H3" s="99"/>
    </row>
    <row r="4" spans="1:8" ht="30">
      <c r="A4" s="174" t="s">
        <v>14</v>
      </c>
      <c r="B4" s="174"/>
      <c r="C4" s="174" t="s">
        <v>16</v>
      </c>
      <c r="D4" s="174" t="s">
        <v>906</v>
      </c>
      <c r="E4" s="22" t="s">
        <v>947</v>
      </c>
      <c r="F4" s="5" t="s">
        <v>948</v>
      </c>
      <c r="G4" s="34">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22"/>
    </row>
    <row r="5" spans="1:8" ht="18.75">
      <c r="A5" s="196" t="s">
        <v>949</v>
      </c>
      <c r="B5" s="196"/>
      <c r="C5" s="196"/>
      <c r="D5" s="196"/>
      <c r="E5" s="196"/>
      <c r="F5" s="196"/>
      <c r="G5" s="196"/>
      <c r="H5" s="196"/>
    </row>
    <row r="6" spans="1:8" ht="30">
      <c r="A6" s="174" t="s">
        <v>14</v>
      </c>
      <c r="B6" s="174"/>
      <c r="C6" s="174" t="s">
        <v>16</v>
      </c>
      <c r="D6" s="174" t="s">
        <v>906</v>
      </c>
      <c r="E6" s="22" t="s">
        <v>950</v>
      </c>
      <c r="F6" s="5" t="s">
        <v>951</v>
      </c>
      <c r="G6" s="34">
        <f>'Tool 07 Default Lambda'!C16</f>
        <v>0.35</v>
      </c>
      <c r="H6" s="5" t="s">
        <v>952</v>
      </c>
    </row>
    <row r="7" spans="1:8">
      <c r="A7" s="174" t="s">
        <v>14</v>
      </c>
      <c r="B7" s="174"/>
      <c r="C7" s="174" t="s">
        <v>16</v>
      </c>
      <c r="D7" s="174" t="s">
        <v>906</v>
      </c>
      <c r="E7" s="22" t="s">
        <v>953</v>
      </c>
      <c r="F7" s="5" t="s">
        <v>954</v>
      </c>
      <c r="G7" s="34">
        <f>(AVERAGE(G8,G9,G10,G11,G12))/(AVERAGE(G13,G14,G15,G16,G17))*(100)</f>
        <v>25</v>
      </c>
      <c r="H7" s="22"/>
    </row>
    <row r="8" spans="1:8" ht="30">
      <c r="A8" s="99" t="s">
        <v>14</v>
      </c>
      <c r="B8" s="99"/>
      <c r="C8" s="99" t="s">
        <v>14</v>
      </c>
      <c r="D8" s="99" t="s">
        <v>91</v>
      </c>
      <c r="E8" t="s">
        <v>955</v>
      </c>
      <c r="F8" s="1" t="s">
        <v>956</v>
      </c>
      <c r="G8" s="41">
        <v>10</v>
      </c>
    </row>
    <row r="9" spans="1:8" ht="30">
      <c r="A9" s="99" t="s">
        <v>14</v>
      </c>
      <c r="B9" s="99"/>
      <c r="C9" s="99" t="s">
        <v>14</v>
      </c>
      <c r="D9" s="99" t="s">
        <v>91</v>
      </c>
      <c r="E9" t="s">
        <v>957</v>
      </c>
      <c r="F9" s="1" t="s">
        <v>958</v>
      </c>
      <c r="G9" s="41">
        <v>10</v>
      </c>
    </row>
    <row r="10" spans="1:8" ht="30">
      <c r="A10" s="99" t="s">
        <v>14</v>
      </c>
      <c r="B10" s="99"/>
      <c r="C10" s="99" t="s">
        <v>14</v>
      </c>
      <c r="D10" s="99" t="s">
        <v>91</v>
      </c>
      <c r="E10" t="s">
        <v>959</v>
      </c>
      <c r="F10" s="1" t="s">
        <v>960</v>
      </c>
      <c r="G10" s="41">
        <v>10</v>
      </c>
    </row>
    <row r="11" spans="1:8" ht="30">
      <c r="A11" s="99" t="s">
        <v>14</v>
      </c>
      <c r="B11" s="99"/>
      <c r="C11" s="99" t="s">
        <v>14</v>
      </c>
      <c r="D11" s="99" t="s">
        <v>91</v>
      </c>
      <c r="E11" t="s">
        <v>961</v>
      </c>
      <c r="F11" s="1" t="s">
        <v>962</v>
      </c>
      <c r="G11" s="41">
        <v>10</v>
      </c>
    </row>
    <row r="12" spans="1:8" ht="30">
      <c r="A12" s="99" t="s">
        <v>14</v>
      </c>
      <c r="B12" s="99"/>
      <c r="C12" s="99" t="s">
        <v>14</v>
      </c>
      <c r="D12" s="99" t="s">
        <v>91</v>
      </c>
      <c r="E12" t="s">
        <v>963</v>
      </c>
      <c r="F12" s="1" t="s">
        <v>964</v>
      </c>
      <c r="G12" s="41">
        <v>10</v>
      </c>
    </row>
    <row r="13" spans="1:8" ht="30">
      <c r="A13" s="99" t="s">
        <v>14</v>
      </c>
      <c r="B13" s="99"/>
      <c r="C13" s="99" t="s">
        <v>14</v>
      </c>
      <c r="D13" s="99" t="s">
        <v>91</v>
      </c>
      <c r="E13" t="s">
        <v>965</v>
      </c>
      <c r="F13" s="1" t="s">
        <v>966</v>
      </c>
      <c r="G13" s="41">
        <v>40</v>
      </c>
    </row>
    <row r="14" spans="1:8" ht="30">
      <c r="A14" s="99" t="s">
        <v>14</v>
      </c>
      <c r="B14" s="99"/>
      <c r="C14" s="99" t="s">
        <v>14</v>
      </c>
      <c r="D14" s="99" t="s">
        <v>91</v>
      </c>
      <c r="E14" t="s">
        <v>967</v>
      </c>
      <c r="F14" s="1" t="s">
        <v>966</v>
      </c>
      <c r="G14" s="41">
        <v>40</v>
      </c>
    </row>
    <row r="15" spans="1:8" ht="30">
      <c r="A15" s="99" t="s">
        <v>14</v>
      </c>
      <c r="B15" s="99"/>
      <c r="C15" s="99" t="s">
        <v>14</v>
      </c>
      <c r="D15" s="99" t="s">
        <v>91</v>
      </c>
      <c r="E15" t="s">
        <v>968</v>
      </c>
      <c r="F15" s="1" t="s">
        <v>966</v>
      </c>
      <c r="G15" s="41">
        <v>40</v>
      </c>
    </row>
    <row r="16" spans="1:8" ht="30">
      <c r="A16" s="99" t="s">
        <v>14</v>
      </c>
      <c r="B16" s="99"/>
      <c r="C16" s="99" t="s">
        <v>14</v>
      </c>
      <c r="D16" s="99" t="s">
        <v>91</v>
      </c>
      <c r="E16" t="s">
        <v>969</v>
      </c>
      <c r="F16" s="1" t="s">
        <v>966</v>
      </c>
      <c r="G16" s="41">
        <v>40</v>
      </c>
    </row>
    <row r="17" spans="1:8" ht="30">
      <c r="A17" s="99" t="s">
        <v>14</v>
      </c>
      <c r="B17" s="99"/>
      <c r="C17" s="99" t="s">
        <v>14</v>
      </c>
      <c r="D17" s="99" t="s">
        <v>91</v>
      </c>
      <c r="E17" t="s">
        <v>970</v>
      </c>
      <c r="F17" s="1" t="s">
        <v>966</v>
      </c>
      <c r="G17" s="41">
        <v>40</v>
      </c>
    </row>
    <row r="18" spans="1:8">
      <c r="A18" s="99" t="s">
        <v>14</v>
      </c>
      <c r="B18" s="99"/>
      <c r="C18" s="99" t="s">
        <v>14</v>
      </c>
      <c r="D18" s="99" t="s">
        <v>91</v>
      </c>
      <c r="E18" t="s">
        <v>971</v>
      </c>
      <c r="F18" s="1" t="s">
        <v>972</v>
      </c>
      <c r="G18" s="41">
        <v>2009</v>
      </c>
    </row>
    <row r="19" spans="1:8" ht="18.75">
      <c r="A19" s="196" t="s">
        <v>973</v>
      </c>
      <c r="B19" s="196"/>
      <c r="C19" s="196"/>
      <c r="D19" s="196"/>
      <c r="E19" s="196"/>
      <c r="F19" s="196"/>
      <c r="G19" s="196"/>
      <c r="H19" s="196"/>
    </row>
    <row r="20" spans="1:8" ht="30">
      <c r="A20" s="99" t="s">
        <v>14</v>
      </c>
      <c r="B20" s="99"/>
      <c r="C20" s="99" t="s">
        <v>14</v>
      </c>
      <c r="D20" s="99" t="s">
        <v>91</v>
      </c>
      <c r="E20" t="s">
        <v>950</v>
      </c>
      <c r="F20" s="1" t="s">
        <v>951</v>
      </c>
      <c r="G20" s="41">
        <v>50</v>
      </c>
    </row>
    <row r="21" spans="1:8">
      <c r="A21" s="99" t="s">
        <v>14</v>
      </c>
      <c r="B21" s="99"/>
      <c r="C21" s="99" t="s">
        <v>14</v>
      </c>
      <c r="D21" s="99" t="s">
        <v>15</v>
      </c>
      <c r="E21" t="s">
        <v>974</v>
      </c>
      <c r="F21" s="1" t="s">
        <v>975</v>
      </c>
      <c r="G21" s="41"/>
    </row>
    <row r="22" spans="1:8">
      <c r="A22" s="99" t="s">
        <v>14</v>
      </c>
      <c r="B22" s="99"/>
      <c r="C22" s="99" t="s">
        <v>14</v>
      </c>
      <c r="D22" s="99" t="s">
        <v>976</v>
      </c>
      <c r="E22" t="s">
        <v>977</v>
      </c>
      <c r="F22" s="1" t="s">
        <v>978</v>
      </c>
      <c r="G22" s="41"/>
    </row>
    <row r="23" spans="1:8" ht="18.75">
      <c r="A23" s="196" t="s">
        <v>979</v>
      </c>
      <c r="B23" s="196"/>
      <c r="C23" s="196"/>
      <c r="D23" s="196"/>
      <c r="E23" s="196"/>
      <c r="F23" s="196"/>
      <c r="G23" s="196"/>
      <c r="H23" s="196"/>
    </row>
    <row r="24" spans="1:8" ht="18.75">
      <c r="A24" s="196" t="s">
        <v>910</v>
      </c>
      <c r="B24" s="196"/>
      <c r="C24" s="196"/>
      <c r="D24" s="196"/>
      <c r="E24" s="196"/>
      <c r="F24" s="196"/>
      <c r="G24" s="196"/>
      <c r="H24" s="196"/>
    </row>
    <row r="25" spans="1:8" ht="18.75">
      <c r="A25" s="196" t="s">
        <v>980</v>
      </c>
      <c r="B25" s="196"/>
      <c r="C25" s="196"/>
      <c r="D25" s="196"/>
      <c r="E25" s="196"/>
      <c r="F25" s="196"/>
      <c r="G25" s="196"/>
      <c r="H25" s="196"/>
    </row>
    <row r="26" spans="1:8" ht="105">
      <c r="A26" s="99" t="s">
        <v>14</v>
      </c>
      <c r="B26" s="99"/>
      <c r="C26" s="99" t="s">
        <v>16</v>
      </c>
      <c r="D26" s="99" t="s">
        <v>668</v>
      </c>
      <c r="E26" t="s">
        <v>904</v>
      </c>
      <c r="F26" s="1" t="s">
        <v>912</v>
      </c>
      <c r="G26" t="s">
        <v>913</v>
      </c>
    </row>
    <row r="27" spans="1:8" ht="18.75">
      <c r="A27" s="196" t="s">
        <v>913</v>
      </c>
      <c r="B27" s="196"/>
      <c r="C27" s="196"/>
      <c r="D27" s="196"/>
      <c r="E27" s="196"/>
      <c r="F27" s="196"/>
      <c r="G27" s="196"/>
      <c r="H27" s="196"/>
    </row>
    <row r="28" spans="1:8">
      <c r="A28" s="174" t="s">
        <v>14</v>
      </c>
      <c r="B28" s="174"/>
      <c r="C28" s="174" t="s">
        <v>16</v>
      </c>
      <c r="D28" s="174" t="s">
        <v>906</v>
      </c>
      <c r="E28" s="22" t="s">
        <v>914</v>
      </c>
      <c r="F28" s="5" t="s">
        <v>915</v>
      </c>
      <c r="G28" s="34">
        <f>SUM((G35*G36*G37)/G31)</f>
        <v>7.0087900000000009E-2</v>
      </c>
      <c r="H28" s="22"/>
    </row>
    <row r="29" spans="1:8">
      <c r="A29" s="99" t="s">
        <v>14</v>
      </c>
      <c r="B29" s="59"/>
      <c r="C29" s="59" t="s">
        <v>14</v>
      </c>
      <c r="D29" s="99" t="s">
        <v>15</v>
      </c>
      <c r="E29" s="59" t="s">
        <v>916</v>
      </c>
      <c r="F29" s="59" t="s">
        <v>917</v>
      </c>
      <c r="G29" s="59"/>
      <c r="H29" s="59"/>
    </row>
    <row r="30" spans="1:8" ht="30">
      <c r="A30" s="99" t="s">
        <v>14</v>
      </c>
      <c r="B30" s="99"/>
      <c r="C30" s="99" t="s">
        <v>14</v>
      </c>
      <c r="D30" s="99" t="s">
        <v>15</v>
      </c>
      <c r="E30" t="s">
        <v>918</v>
      </c>
      <c r="F30" s="1" t="s">
        <v>919</v>
      </c>
      <c r="G30" t="s">
        <v>920</v>
      </c>
    </row>
    <row r="31" spans="1:8" ht="30">
      <c r="A31" s="99" t="s">
        <v>14</v>
      </c>
      <c r="B31" s="99"/>
      <c r="C31" s="99" t="s">
        <v>14</v>
      </c>
      <c r="D31" s="99" t="s">
        <v>91</v>
      </c>
      <c r="E31" t="s">
        <v>921</v>
      </c>
      <c r="F31" s="1" t="s">
        <v>922</v>
      </c>
      <c r="G31" s="41">
        <v>40</v>
      </c>
    </row>
    <row r="32" spans="1:8">
      <c r="A32" s="99" t="s">
        <v>14</v>
      </c>
      <c r="B32" s="99"/>
      <c r="C32" s="99" t="s">
        <v>14</v>
      </c>
      <c r="D32" s="99" t="s">
        <v>15</v>
      </c>
      <c r="E32" t="s">
        <v>528</v>
      </c>
      <c r="F32" s="1" t="s">
        <v>923</v>
      </c>
      <c r="G32" s="41">
        <v>2009</v>
      </c>
    </row>
    <row r="33" spans="1:8" ht="18.75">
      <c r="A33" s="192" t="s">
        <v>924</v>
      </c>
      <c r="B33" s="192"/>
      <c r="C33" s="192"/>
      <c r="D33" s="192"/>
      <c r="E33" s="192"/>
      <c r="F33" s="192"/>
      <c r="G33" s="192"/>
      <c r="H33" s="192"/>
    </row>
    <row r="34" spans="1:8">
      <c r="A34" s="59" t="s">
        <v>14</v>
      </c>
      <c r="B34" s="59"/>
      <c r="C34" s="59" t="s">
        <v>14</v>
      </c>
      <c r="D34" s="99" t="s">
        <v>15</v>
      </c>
      <c r="E34" s="59" t="s">
        <v>916</v>
      </c>
      <c r="F34" s="132" t="s">
        <v>917</v>
      </c>
      <c r="G34" s="59" t="s">
        <v>925</v>
      </c>
      <c r="H34" s="59"/>
    </row>
    <row r="35" spans="1:8" ht="30">
      <c r="A35" s="59" t="s">
        <v>14</v>
      </c>
      <c r="C35" s="59" t="s">
        <v>14</v>
      </c>
      <c r="D35" s="99" t="s">
        <v>91</v>
      </c>
      <c r="E35" t="s">
        <v>926</v>
      </c>
      <c r="F35" s="1" t="s">
        <v>927</v>
      </c>
      <c r="G35" s="41">
        <v>1</v>
      </c>
    </row>
    <row r="36" spans="1:8" ht="30">
      <c r="A36" s="59" t="s">
        <v>14</v>
      </c>
      <c r="C36" s="59" t="s">
        <v>14</v>
      </c>
      <c r="D36" s="99" t="s">
        <v>91</v>
      </c>
      <c r="E36" t="s">
        <v>928</v>
      </c>
      <c r="F36" s="1" t="s">
        <v>929</v>
      </c>
      <c r="G36" s="41">
        <v>22.609000000000002</v>
      </c>
    </row>
    <row r="37" spans="1:8">
      <c r="A37" s="59" t="s">
        <v>14</v>
      </c>
      <c r="C37" s="59" t="s">
        <v>14</v>
      </c>
      <c r="D37" s="99" t="s">
        <v>91</v>
      </c>
      <c r="E37" t="s">
        <v>930</v>
      </c>
      <c r="F37" t="s">
        <v>931</v>
      </c>
      <c r="G37" s="41">
        <v>0.124</v>
      </c>
    </row>
    <row r="38" spans="1:8" ht="18.75">
      <c r="A38" s="196" t="s">
        <v>630</v>
      </c>
      <c r="B38" s="196"/>
      <c r="C38" s="196"/>
      <c r="D38" s="196"/>
      <c r="E38" s="196"/>
      <c r="F38" s="196"/>
      <c r="G38" s="196"/>
      <c r="H38" s="196"/>
    </row>
    <row r="39" spans="1:8">
      <c r="A39" s="174" t="s">
        <v>14</v>
      </c>
      <c r="B39" s="174"/>
      <c r="C39" s="174" t="s">
        <v>16</v>
      </c>
      <c r="D39" s="174" t="s">
        <v>906</v>
      </c>
      <c r="E39" s="22" t="s">
        <v>914</v>
      </c>
      <c r="F39" s="5" t="s">
        <v>932</v>
      </c>
      <c r="G39" s="34">
        <f>(G41*3.6)/G42</f>
        <v>0.44640000000000002</v>
      </c>
      <c r="H39" s="22"/>
    </row>
    <row r="40" spans="1:8" ht="30">
      <c r="A40" s="99" t="s">
        <v>14</v>
      </c>
      <c r="B40" s="99"/>
      <c r="C40" s="99" t="s">
        <v>14</v>
      </c>
      <c r="D40" s="99" t="s">
        <v>91</v>
      </c>
      <c r="E40" t="s">
        <v>921</v>
      </c>
      <c r="F40" s="1" t="s">
        <v>922</v>
      </c>
      <c r="G40" s="41">
        <v>40</v>
      </c>
    </row>
    <row r="41" spans="1:8" ht="30">
      <c r="A41" s="99" t="s">
        <v>14</v>
      </c>
      <c r="B41" s="99"/>
      <c r="C41" s="99" t="s">
        <v>14</v>
      </c>
      <c r="D41" s="99" t="s">
        <v>91</v>
      </c>
      <c r="E41" t="s">
        <v>933</v>
      </c>
      <c r="F41" s="1" t="s">
        <v>934</v>
      </c>
      <c r="G41" s="41">
        <v>0.124</v>
      </c>
    </row>
    <row r="42" spans="1:8" ht="30">
      <c r="A42" s="99" t="s">
        <v>14</v>
      </c>
      <c r="B42" s="99"/>
      <c r="C42" s="99" t="s">
        <v>14</v>
      </c>
      <c r="D42" s="99" t="s">
        <v>91</v>
      </c>
      <c r="E42" t="s">
        <v>935</v>
      </c>
      <c r="F42" s="1" t="s">
        <v>936</v>
      </c>
      <c r="G42" s="41">
        <v>1</v>
      </c>
    </row>
    <row r="43" spans="1:8" ht="18.75">
      <c r="A43" s="192" t="s">
        <v>937</v>
      </c>
      <c r="B43" s="192"/>
      <c r="C43" s="192"/>
      <c r="D43" s="192"/>
      <c r="E43" s="192"/>
      <c r="F43" s="192"/>
      <c r="G43" s="192"/>
      <c r="H43" s="192"/>
    </row>
    <row r="44" spans="1:8">
      <c r="A44" s="174" t="s">
        <v>14</v>
      </c>
      <c r="B44" s="174"/>
      <c r="C44" s="174" t="s">
        <v>16</v>
      </c>
      <c r="D44" s="174" t="s">
        <v>906</v>
      </c>
      <c r="E44" s="22" t="s">
        <v>914</v>
      </c>
      <c r="F44" s="5" t="s">
        <v>915</v>
      </c>
      <c r="G44" s="34">
        <f>0</f>
        <v>0</v>
      </c>
      <c r="H44" s="22"/>
    </row>
    <row r="45" spans="1:8" ht="30">
      <c r="A45" s="99" t="s">
        <v>14</v>
      </c>
      <c r="B45" s="99"/>
      <c r="C45" s="99" t="s">
        <v>14</v>
      </c>
      <c r="D45" s="99" t="s">
        <v>91</v>
      </c>
      <c r="E45" t="s">
        <v>921</v>
      </c>
      <c r="F45" s="1" t="s">
        <v>922</v>
      </c>
      <c r="G45" s="41">
        <v>40</v>
      </c>
    </row>
    <row r="46" spans="1:8" ht="18.75">
      <c r="A46" s="196" t="s">
        <v>981</v>
      </c>
      <c r="B46" s="196"/>
      <c r="C46" s="196"/>
      <c r="D46" s="196"/>
      <c r="E46" s="196"/>
      <c r="F46" s="196"/>
      <c r="G46" s="196"/>
      <c r="H46" s="196"/>
    </row>
    <row r="47" spans="1:8" ht="18.75">
      <c r="A47" s="196" t="s">
        <v>910</v>
      </c>
      <c r="B47" s="196"/>
      <c r="C47" s="196"/>
      <c r="D47" s="196"/>
      <c r="E47" s="196"/>
      <c r="F47" s="196"/>
      <c r="G47" s="196"/>
      <c r="H47" s="196"/>
    </row>
    <row r="48" spans="1:8" ht="18.75">
      <c r="A48" s="196" t="s">
        <v>980</v>
      </c>
      <c r="B48" s="196"/>
      <c r="C48" s="196"/>
      <c r="D48" s="196"/>
      <c r="E48" s="196"/>
      <c r="F48" s="196"/>
      <c r="G48" s="196"/>
      <c r="H48" s="196"/>
    </row>
    <row r="49" spans="1:8" ht="105">
      <c r="A49" s="99" t="s">
        <v>14</v>
      </c>
      <c r="B49" s="99"/>
      <c r="C49" s="99" t="s">
        <v>16</v>
      </c>
      <c r="D49" s="99" t="s">
        <v>668</v>
      </c>
      <c r="E49" t="s">
        <v>904</v>
      </c>
      <c r="F49" s="1" t="s">
        <v>912</v>
      </c>
      <c r="G49" t="s">
        <v>937</v>
      </c>
    </row>
    <row r="50" spans="1:8" ht="18.75">
      <c r="A50" s="196" t="s">
        <v>913</v>
      </c>
      <c r="B50" s="196"/>
      <c r="C50" s="196"/>
      <c r="D50" s="196"/>
      <c r="E50" s="196"/>
      <c r="F50" s="196"/>
      <c r="G50" s="196"/>
      <c r="H50" s="196"/>
    </row>
    <row r="51" spans="1:8">
      <c r="A51" s="174" t="s">
        <v>14</v>
      </c>
      <c r="B51" s="174"/>
      <c r="C51" s="174" t="s">
        <v>16</v>
      </c>
      <c r="D51" s="174" t="s">
        <v>906</v>
      </c>
      <c r="E51" s="22" t="s">
        <v>982</v>
      </c>
      <c r="F51" s="5" t="s">
        <v>915</v>
      </c>
      <c r="G51" s="34">
        <f>SUM((G58*G59*G60)/G54)</f>
        <v>7.0087900000000009E-2</v>
      </c>
      <c r="H51" s="22"/>
    </row>
    <row r="52" spans="1:8">
      <c r="A52" s="59" t="s">
        <v>14</v>
      </c>
      <c r="B52" s="59"/>
      <c r="C52" s="59" t="s">
        <v>14</v>
      </c>
      <c r="D52" s="99" t="s">
        <v>15</v>
      </c>
      <c r="E52" s="59" t="s">
        <v>916</v>
      </c>
      <c r="F52" s="59" t="s">
        <v>917</v>
      </c>
      <c r="G52" s="59"/>
      <c r="H52" s="59"/>
    </row>
    <row r="53" spans="1:8" ht="30">
      <c r="A53" s="99" t="s">
        <v>14</v>
      </c>
      <c r="B53" s="99"/>
      <c r="C53" s="59" t="s">
        <v>14</v>
      </c>
      <c r="D53" s="99" t="s">
        <v>15</v>
      </c>
      <c r="E53" t="s">
        <v>539</v>
      </c>
      <c r="F53" s="1" t="s">
        <v>983</v>
      </c>
      <c r="G53" t="s">
        <v>920</v>
      </c>
    </row>
    <row r="54" spans="1:8" ht="30">
      <c r="A54" s="99" t="s">
        <v>14</v>
      </c>
      <c r="B54" s="99"/>
      <c r="C54" s="59" t="s">
        <v>14</v>
      </c>
      <c r="D54" s="99" t="s">
        <v>91</v>
      </c>
      <c r="E54" t="s">
        <v>984</v>
      </c>
      <c r="F54" s="1" t="s">
        <v>922</v>
      </c>
      <c r="G54" s="41">
        <v>40</v>
      </c>
    </row>
    <row r="55" spans="1:8">
      <c r="A55" s="99" t="s">
        <v>14</v>
      </c>
      <c r="B55" s="99"/>
      <c r="C55" s="59" t="s">
        <v>14</v>
      </c>
      <c r="D55" s="99" t="s">
        <v>15</v>
      </c>
      <c r="E55" t="s">
        <v>528</v>
      </c>
      <c r="F55" t="s">
        <v>923</v>
      </c>
      <c r="G55" s="41">
        <v>2009</v>
      </c>
    </row>
    <row r="56" spans="1:8" ht="18.75">
      <c r="A56" s="192" t="s">
        <v>924</v>
      </c>
      <c r="B56" s="192"/>
      <c r="C56" s="192"/>
      <c r="D56" s="192"/>
      <c r="E56" s="192"/>
      <c r="F56" s="192"/>
      <c r="G56" s="192"/>
      <c r="H56" s="192"/>
    </row>
    <row r="57" spans="1:8">
      <c r="A57" s="59" t="s">
        <v>14</v>
      </c>
      <c r="B57" s="59"/>
      <c r="C57" s="59" t="s">
        <v>14</v>
      </c>
      <c r="D57" s="99" t="s">
        <v>15</v>
      </c>
      <c r="E57" s="59" t="s">
        <v>916</v>
      </c>
      <c r="F57" s="59" t="s">
        <v>917</v>
      </c>
      <c r="G57" s="59" t="s">
        <v>925</v>
      </c>
      <c r="H57" s="59"/>
    </row>
    <row r="58" spans="1:8" ht="30">
      <c r="A58" s="59" t="s">
        <v>14</v>
      </c>
      <c r="C58" s="59" t="s">
        <v>14</v>
      </c>
      <c r="D58" s="99" t="s">
        <v>91</v>
      </c>
      <c r="E58" t="s">
        <v>985</v>
      </c>
      <c r="F58" s="1" t="s">
        <v>927</v>
      </c>
      <c r="G58" s="41">
        <v>1</v>
      </c>
    </row>
    <row r="59" spans="1:8" ht="30">
      <c r="A59" s="59" t="s">
        <v>14</v>
      </c>
      <c r="C59" s="59" t="s">
        <v>14</v>
      </c>
      <c r="D59" s="99" t="s">
        <v>91</v>
      </c>
      <c r="E59" t="s">
        <v>928</v>
      </c>
      <c r="F59" s="1" t="s">
        <v>929</v>
      </c>
      <c r="G59" s="41">
        <v>22.609000000000002</v>
      </c>
    </row>
    <row r="60" spans="1:8">
      <c r="A60" s="59" t="s">
        <v>14</v>
      </c>
      <c r="C60" s="59" t="s">
        <v>14</v>
      </c>
      <c r="D60" s="99" t="s">
        <v>91</v>
      </c>
      <c r="E60" t="s">
        <v>930</v>
      </c>
      <c r="F60" t="s">
        <v>931</v>
      </c>
      <c r="G60" s="41">
        <v>0.124</v>
      </c>
    </row>
    <row r="61" spans="1:8" ht="18.75">
      <c r="A61" s="196" t="s">
        <v>630</v>
      </c>
      <c r="B61" s="196"/>
      <c r="C61" s="196"/>
      <c r="D61" s="196"/>
      <c r="E61" s="196"/>
      <c r="F61" s="196"/>
      <c r="G61" s="196"/>
      <c r="H61" s="196"/>
    </row>
    <row r="62" spans="1:8">
      <c r="A62" s="174" t="s">
        <v>14</v>
      </c>
      <c r="B62" s="174"/>
      <c r="C62" s="174" t="s">
        <v>16</v>
      </c>
      <c r="D62" s="174" t="s">
        <v>906</v>
      </c>
      <c r="E62" s="22" t="s">
        <v>982</v>
      </c>
      <c r="F62" s="5" t="s">
        <v>932</v>
      </c>
      <c r="G62" s="34">
        <f>(G64*3.6)/G65</f>
        <v>0.44640000000000002</v>
      </c>
      <c r="H62" s="22"/>
    </row>
    <row r="63" spans="1:8" ht="30">
      <c r="A63" s="99" t="s">
        <v>14</v>
      </c>
      <c r="B63" s="99"/>
      <c r="C63" s="99" t="s">
        <v>14</v>
      </c>
      <c r="D63" s="99" t="s">
        <v>91</v>
      </c>
      <c r="E63" t="s">
        <v>984</v>
      </c>
      <c r="F63" s="1" t="s">
        <v>922</v>
      </c>
      <c r="G63" s="41">
        <v>40</v>
      </c>
    </row>
    <row r="64" spans="1:8" ht="30">
      <c r="A64" s="99" t="s">
        <v>14</v>
      </c>
      <c r="B64" s="99"/>
      <c r="C64" s="99" t="s">
        <v>14</v>
      </c>
      <c r="D64" s="99" t="s">
        <v>91</v>
      </c>
      <c r="E64" t="s">
        <v>986</v>
      </c>
      <c r="F64" s="1" t="s">
        <v>934</v>
      </c>
      <c r="G64" s="41">
        <v>0.124</v>
      </c>
    </row>
    <row r="65" spans="1:8" ht="30">
      <c r="A65" s="99" t="s">
        <v>14</v>
      </c>
      <c r="B65" s="99"/>
      <c r="C65" s="99" t="s">
        <v>14</v>
      </c>
      <c r="D65" s="99" t="s">
        <v>91</v>
      </c>
      <c r="E65" t="s">
        <v>987</v>
      </c>
      <c r="F65" s="1" t="s">
        <v>936</v>
      </c>
      <c r="G65" s="41">
        <v>1</v>
      </c>
    </row>
    <row r="66" spans="1:8" ht="18.75">
      <c r="A66" s="192" t="s">
        <v>937</v>
      </c>
      <c r="B66" s="192"/>
      <c r="C66" s="192"/>
      <c r="D66" s="192"/>
      <c r="E66" s="192"/>
      <c r="F66" s="192"/>
      <c r="G66" s="192"/>
      <c r="H66" s="192"/>
    </row>
    <row r="67" spans="1:8">
      <c r="A67" s="174" t="s">
        <v>14</v>
      </c>
      <c r="B67" s="174"/>
      <c r="C67" s="174" t="s">
        <v>16</v>
      </c>
      <c r="D67" s="174" t="s">
        <v>906</v>
      </c>
      <c r="E67" s="22" t="s">
        <v>982</v>
      </c>
      <c r="F67" s="5" t="s">
        <v>915</v>
      </c>
      <c r="G67" s="34">
        <f>0</f>
        <v>0</v>
      </c>
      <c r="H67" s="22"/>
    </row>
    <row r="68" spans="1:8" ht="30">
      <c r="A68" s="99" t="s">
        <v>14</v>
      </c>
      <c r="B68" s="99"/>
      <c r="C68" s="99" t="s">
        <v>14</v>
      </c>
      <c r="D68" s="99" t="s">
        <v>91</v>
      </c>
      <c r="E68" t="s">
        <v>984</v>
      </c>
      <c r="F68" s="1" t="s">
        <v>922</v>
      </c>
      <c r="G68" s="41">
        <v>40</v>
      </c>
    </row>
  </sheetData>
  <mergeCells count="17">
    <mergeCell ref="A48:H48"/>
    <mergeCell ref="A50:H50"/>
    <mergeCell ref="A56:H56"/>
    <mergeCell ref="A61:H61"/>
    <mergeCell ref="A66:H66"/>
    <mergeCell ref="A47:H47"/>
    <mergeCell ref="A2:H2"/>
    <mergeCell ref="A5:H5"/>
    <mergeCell ref="A19:H19"/>
    <mergeCell ref="A23:H23"/>
    <mergeCell ref="A24:H24"/>
    <mergeCell ref="A25:H25"/>
    <mergeCell ref="A27:H27"/>
    <mergeCell ref="A33:H33"/>
    <mergeCell ref="A38:H38"/>
    <mergeCell ref="A43:H43"/>
    <mergeCell ref="A46:H46"/>
  </mergeCells>
  <dataValidations count="4">
    <dataValidation type="list" allowBlank="1" showInputMessage="1" showErrorMessage="1" sqref="G3" xr:uid="{50643437-3F04-4A10-9647-57B8879D1490}">
      <formula1>"Approach 1,Approach 2"</formula1>
    </dataValidation>
    <dataValidation type="list" allowBlank="1" showInputMessage="1" showErrorMessage="1" sqref="G26 G49" xr:uid="{B6D1E530-7FA3-4ACC-B1B2-9B9B54B9B401}">
      <formula1>"Option A1, Option A2, Option A3"</formula1>
    </dataValidation>
    <dataValidation type="list" allowBlank="1" showInputMessage="1" showErrorMessage="1" sqref="D51:D55 D20:D22 D6:D18 D34:D37 D44:D45 D39:D42 D26 D28:D32 D57:D60 D67:D68 D62:D65 D49 D3:D4" xr:uid="{CEBE0CBA-6A70-420F-B0A0-D4F96315A635}">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5A8E5E3D-3C1D-4D73-979B-5B6A0BF68831}">
      <formula1>"Yes, No"</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8DBC7-54AC-4A01-9CF0-942320D5E833}">
  <dimension ref="B1:C23"/>
  <sheetViews>
    <sheetView workbookViewId="0">
      <selection activeCell="I8" sqref="I8"/>
    </sheetView>
  </sheetViews>
  <sheetFormatPr defaultColWidth="8.85546875" defaultRowHeight="15"/>
  <cols>
    <col min="2" max="2" width="32.140625" customWidth="1"/>
    <col min="3" max="3" width="12.7109375" bestFit="1" customWidth="1"/>
  </cols>
  <sheetData>
    <row r="1" spans="2:3" ht="15.75" thickBot="1"/>
    <row r="2" spans="2:3" ht="24" customHeight="1">
      <c r="B2" s="175" t="s">
        <v>988</v>
      </c>
      <c r="C2" s="176" t="s">
        <v>989</v>
      </c>
    </row>
    <row r="3" spans="2:3">
      <c r="B3" s="67" t="s">
        <v>990</v>
      </c>
      <c r="C3" s="177">
        <v>1</v>
      </c>
    </row>
    <row r="4" spans="2:3">
      <c r="B4" s="67" t="s">
        <v>991</v>
      </c>
      <c r="C4" s="177">
        <v>0.95</v>
      </c>
    </row>
    <row r="5" spans="2:3">
      <c r="B5" s="67" t="s">
        <v>992</v>
      </c>
      <c r="C5" s="177">
        <v>0.9</v>
      </c>
    </row>
    <row r="6" spans="2:3">
      <c r="B6" s="67" t="s">
        <v>993</v>
      </c>
      <c r="C6" s="177">
        <v>0.85</v>
      </c>
    </row>
    <row r="7" spans="2:3">
      <c r="B7" s="67" t="s">
        <v>994</v>
      </c>
      <c r="C7" s="177">
        <v>0.8</v>
      </c>
    </row>
    <row r="8" spans="2:3">
      <c r="B8" s="67" t="s">
        <v>995</v>
      </c>
      <c r="C8" s="177">
        <v>0.75</v>
      </c>
    </row>
    <row r="9" spans="2:3">
      <c r="B9" s="67" t="s">
        <v>996</v>
      </c>
      <c r="C9" s="177">
        <v>0.7</v>
      </c>
    </row>
    <row r="10" spans="2:3">
      <c r="B10" s="67" t="s">
        <v>997</v>
      </c>
      <c r="C10" s="177">
        <v>0.65</v>
      </c>
    </row>
    <row r="11" spans="2:3">
      <c r="B11" s="67" t="s">
        <v>998</v>
      </c>
      <c r="C11" s="177">
        <v>0.6</v>
      </c>
    </row>
    <row r="12" spans="2:3">
      <c r="B12" s="67" t="s">
        <v>999</v>
      </c>
      <c r="C12" s="177">
        <v>0.55000000000000004</v>
      </c>
    </row>
    <row r="13" spans="2:3">
      <c r="B13" s="67" t="s">
        <v>1000</v>
      </c>
      <c r="C13" s="177">
        <v>0.5</v>
      </c>
    </row>
    <row r="14" spans="2:3">
      <c r="B14" s="67" t="s">
        <v>1001</v>
      </c>
      <c r="C14" s="177">
        <v>0.45</v>
      </c>
    </row>
    <row r="15" spans="2:3">
      <c r="B15" s="67" t="s">
        <v>1002</v>
      </c>
      <c r="C15" s="177">
        <v>0.4</v>
      </c>
    </row>
    <row r="16" spans="2:3">
      <c r="B16" s="67" t="s">
        <v>1003</v>
      </c>
      <c r="C16" s="177">
        <v>0.35</v>
      </c>
    </row>
    <row r="17" spans="2:3">
      <c r="B17" s="67" t="s">
        <v>1004</v>
      </c>
      <c r="C17" s="177">
        <v>0.3</v>
      </c>
    </row>
    <row r="18" spans="2:3">
      <c r="B18" s="67" t="s">
        <v>1005</v>
      </c>
      <c r="C18" s="177">
        <v>0.25</v>
      </c>
    </row>
    <row r="19" spans="2:3">
      <c r="B19" s="67" t="s">
        <v>1006</v>
      </c>
      <c r="C19" s="177">
        <v>0.2</v>
      </c>
    </row>
    <row r="20" spans="2:3">
      <c r="B20" s="67" t="s">
        <v>1007</v>
      </c>
      <c r="C20" s="177">
        <v>0.15</v>
      </c>
    </row>
    <row r="21" spans="2:3">
      <c r="B21" s="67" t="s">
        <v>1008</v>
      </c>
      <c r="C21" s="177">
        <v>0.1</v>
      </c>
    </row>
    <row r="22" spans="2:3">
      <c r="B22" s="67" t="s">
        <v>1009</v>
      </c>
      <c r="C22" s="177">
        <v>0.05</v>
      </c>
    </row>
    <row r="23" spans="2:3" ht="15.75" thickBot="1">
      <c r="B23" s="64" t="s">
        <v>1010</v>
      </c>
      <c r="C23" s="178">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238F5-E50D-4D46-9C84-A369A2B672A0}">
  <dimension ref="A1:I207"/>
  <sheetViews>
    <sheetView workbookViewId="0">
      <selection activeCell="I8" sqref="I8"/>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41" customWidth="1"/>
    <col min="8" max="8" width="46.7109375" customWidth="1"/>
  </cols>
  <sheetData>
    <row r="1" spans="1:9" ht="18.75">
      <c r="A1" s="172" t="s">
        <v>360</v>
      </c>
      <c r="B1" s="172" t="s">
        <v>9</v>
      </c>
      <c r="C1" s="172" t="s">
        <v>8</v>
      </c>
      <c r="D1" s="172" t="s">
        <v>7</v>
      </c>
      <c r="E1" s="172" t="s">
        <v>1</v>
      </c>
      <c r="F1" s="172" t="s">
        <v>362</v>
      </c>
      <c r="G1" s="172" t="s">
        <v>363</v>
      </c>
      <c r="H1" s="172" t="s">
        <v>364</v>
      </c>
      <c r="I1" s="179"/>
    </row>
    <row r="2" spans="1:9" ht="18.75">
      <c r="A2" s="196" t="s">
        <v>1011</v>
      </c>
      <c r="B2" s="196"/>
      <c r="C2" s="196"/>
      <c r="D2" s="196"/>
      <c r="E2" s="196"/>
      <c r="F2" s="196"/>
      <c r="G2" s="196"/>
      <c r="H2" s="196"/>
      <c r="I2" s="99"/>
    </row>
    <row r="3" spans="1:9" ht="34.5" customHeight="1">
      <c r="A3" s="204" t="s">
        <v>14</v>
      </c>
      <c r="B3" s="204"/>
      <c r="C3" s="204" t="s">
        <v>16</v>
      </c>
      <c r="D3" s="204" t="s">
        <v>668</v>
      </c>
      <c r="E3" s="204" t="s">
        <v>2</v>
      </c>
      <c r="F3" s="180" t="s">
        <v>1012</v>
      </c>
      <c r="G3" s="197" t="s">
        <v>1013</v>
      </c>
      <c r="H3" s="204"/>
    </row>
    <row r="4" spans="1:9">
      <c r="A4" s="204"/>
      <c r="B4" s="204"/>
      <c r="C4" s="204"/>
      <c r="D4" s="204"/>
      <c r="E4" s="204"/>
      <c r="F4" s="180" t="s">
        <v>1014</v>
      </c>
      <c r="G4" s="197"/>
      <c r="H4" s="204"/>
      <c r="I4" s="99"/>
    </row>
    <row r="5" spans="1:9">
      <c r="A5" s="204"/>
      <c r="B5" s="204"/>
      <c r="C5" s="204"/>
      <c r="D5" s="204"/>
      <c r="E5" s="204"/>
      <c r="F5" s="180" t="s">
        <v>1015</v>
      </c>
      <c r="G5" s="197"/>
      <c r="H5" s="204"/>
    </row>
    <row r="6" spans="1:9" ht="18.75">
      <c r="A6" s="196" t="s">
        <v>1016</v>
      </c>
      <c r="B6" s="196"/>
      <c r="C6" s="196"/>
      <c r="D6" s="196"/>
      <c r="E6" s="196"/>
      <c r="F6" s="196"/>
      <c r="G6" s="196"/>
      <c r="H6" s="196"/>
    </row>
    <row r="7" spans="1:9" ht="30">
      <c r="A7" s="99" t="s">
        <v>14</v>
      </c>
      <c r="B7" s="99"/>
      <c r="C7" s="99" t="s">
        <v>14</v>
      </c>
      <c r="D7" s="99" t="s">
        <v>91</v>
      </c>
      <c r="E7" s="99" t="s">
        <v>1017</v>
      </c>
      <c r="F7" s="162" t="s">
        <v>1018</v>
      </c>
      <c r="G7" s="59"/>
      <c r="H7" s="99"/>
    </row>
    <row r="8" spans="1:9" ht="60">
      <c r="A8" s="99" t="s">
        <v>14</v>
      </c>
      <c r="B8" s="99"/>
      <c r="C8" s="99" t="s">
        <v>14</v>
      </c>
      <c r="D8" s="99" t="s">
        <v>1019</v>
      </c>
      <c r="E8" s="162" t="s">
        <v>1020</v>
      </c>
      <c r="F8" s="162" t="s">
        <v>1021</v>
      </c>
      <c r="G8" s="59"/>
      <c r="H8" s="162" t="s">
        <v>1022</v>
      </c>
      <c r="I8" s="99"/>
    </row>
    <row r="9" spans="1:9">
      <c r="A9" s="99"/>
      <c r="B9" s="99"/>
      <c r="C9" s="99"/>
      <c r="D9" s="99"/>
    </row>
    <row r="10" spans="1:9">
      <c r="A10" s="99"/>
      <c r="B10" s="99"/>
      <c r="C10" s="99"/>
      <c r="D10" s="99"/>
    </row>
    <row r="11" spans="1:9">
      <c r="A11" s="99"/>
      <c r="B11" s="99"/>
      <c r="C11" s="99"/>
      <c r="D11" s="99"/>
    </row>
    <row r="12" spans="1:9">
      <c r="A12" s="99"/>
      <c r="B12" s="99"/>
      <c r="C12" s="99"/>
      <c r="D12" s="99"/>
    </row>
    <row r="13" spans="1:9">
      <c r="A13" s="99"/>
      <c r="B13" s="99"/>
      <c r="C13" s="99"/>
      <c r="D13" s="99"/>
    </row>
    <row r="14" spans="1:9">
      <c r="A14" s="99"/>
      <c r="B14" s="99"/>
      <c r="C14" s="99"/>
      <c r="D14" s="99"/>
    </row>
    <row r="15" spans="1:9">
      <c r="A15" s="99"/>
      <c r="B15" s="99"/>
      <c r="C15" s="99"/>
      <c r="D15" s="99"/>
    </row>
    <row r="16" spans="1:9">
      <c r="A16" s="99"/>
      <c r="B16" s="99"/>
      <c r="C16" s="99"/>
      <c r="D16" s="99"/>
    </row>
    <row r="17" spans="1:4">
      <c r="A17" s="99"/>
      <c r="B17" s="99"/>
      <c r="C17" s="99"/>
      <c r="D17" s="99"/>
    </row>
    <row r="18" spans="1:4">
      <c r="B18" s="99"/>
      <c r="C18" s="99"/>
      <c r="D18" s="99"/>
    </row>
    <row r="19" spans="1:4">
      <c r="D19" s="99"/>
    </row>
    <row r="20" spans="1:4">
      <c r="D20" s="99"/>
    </row>
    <row r="21" spans="1:4">
      <c r="D21" s="99"/>
    </row>
    <row r="22" spans="1:4">
      <c r="D22" s="99"/>
    </row>
    <row r="23" spans="1:4">
      <c r="D23" s="99"/>
    </row>
    <row r="24" spans="1:4">
      <c r="D24" s="99"/>
    </row>
    <row r="25" spans="1:4">
      <c r="D25" s="99"/>
    </row>
    <row r="26" spans="1:4">
      <c r="D26" s="99"/>
    </row>
    <row r="27" spans="1:4">
      <c r="D27" s="99"/>
    </row>
    <row r="28" spans="1:4">
      <c r="D28" s="99"/>
    </row>
    <row r="29" spans="1:4">
      <c r="D29" s="99"/>
    </row>
    <row r="30" spans="1:4">
      <c r="D30" s="99"/>
    </row>
    <row r="31" spans="1:4">
      <c r="D31" s="99"/>
    </row>
    <row r="32" spans="1:4">
      <c r="D32" s="99"/>
    </row>
    <row r="33" spans="4:4">
      <c r="D33" s="99"/>
    </row>
    <row r="34" spans="4:4">
      <c r="D34" s="99"/>
    </row>
    <row r="35" spans="4:4">
      <c r="D35" s="99"/>
    </row>
    <row r="36" spans="4:4">
      <c r="D36" s="99"/>
    </row>
    <row r="37" spans="4:4">
      <c r="D37" s="99"/>
    </row>
    <row r="38" spans="4:4">
      <c r="D38" s="99"/>
    </row>
    <row r="39" spans="4:4">
      <c r="D39" s="99"/>
    </row>
    <row r="40" spans="4:4">
      <c r="D40" s="99"/>
    </row>
    <row r="41" spans="4:4">
      <c r="D41" s="99"/>
    </row>
    <row r="42" spans="4:4">
      <c r="D42" s="99"/>
    </row>
    <row r="43" spans="4:4">
      <c r="D43" s="99"/>
    </row>
    <row r="44" spans="4:4">
      <c r="D44" s="99"/>
    </row>
    <row r="45" spans="4:4">
      <c r="D45" s="99"/>
    </row>
    <row r="46" spans="4:4">
      <c r="D46" s="99"/>
    </row>
    <row r="47" spans="4:4">
      <c r="D47" s="99"/>
    </row>
    <row r="48" spans="4:4">
      <c r="D48" s="99"/>
    </row>
    <row r="49" spans="4:4">
      <c r="D49" s="99"/>
    </row>
    <row r="50" spans="4:4">
      <c r="D50" s="99"/>
    </row>
    <row r="51" spans="4:4">
      <c r="D51" s="99"/>
    </row>
    <row r="52" spans="4:4">
      <c r="D52" s="99"/>
    </row>
    <row r="53" spans="4:4">
      <c r="D53" s="99"/>
    </row>
    <row r="54" spans="4:4">
      <c r="D54" s="99"/>
    </row>
    <row r="55" spans="4:4">
      <c r="D55" s="99"/>
    </row>
    <row r="56" spans="4:4">
      <c r="D56" s="99"/>
    </row>
    <row r="57" spans="4:4">
      <c r="D57" s="99"/>
    </row>
    <row r="58" spans="4:4">
      <c r="D58" s="99"/>
    </row>
    <row r="59" spans="4:4">
      <c r="D59" s="99"/>
    </row>
    <row r="60" spans="4:4">
      <c r="D60" s="99"/>
    </row>
    <row r="61" spans="4:4">
      <c r="D61" s="99"/>
    </row>
    <row r="62" spans="4:4">
      <c r="D62" s="99"/>
    </row>
    <row r="63" spans="4:4">
      <c r="D63" s="99"/>
    </row>
    <row r="64" spans="4:4">
      <c r="D64" s="99"/>
    </row>
    <row r="65" spans="4:4">
      <c r="D65" s="99"/>
    </row>
    <row r="66" spans="4:4">
      <c r="D66" s="99"/>
    </row>
    <row r="67" spans="4:4">
      <c r="D67" s="99"/>
    </row>
    <row r="68" spans="4:4">
      <c r="D68" s="99"/>
    </row>
    <row r="69" spans="4:4">
      <c r="D69" s="99"/>
    </row>
    <row r="70" spans="4:4">
      <c r="D70" s="99"/>
    </row>
    <row r="71" spans="4:4">
      <c r="D71" s="99"/>
    </row>
    <row r="72" spans="4:4">
      <c r="D72" s="99"/>
    </row>
    <row r="73" spans="4:4">
      <c r="D73" s="99"/>
    </row>
    <row r="74" spans="4:4">
      <c r="D74" s="99"/>
    </row>
    <row r="75" spans="4:4">
      <c r="D75" s="99"/>
    </row>
    <row r="76" spans="4:4">
      <c r="D76" s="99"/>
    </row>
    <row r="77" spans="4:4">
      <c r="D77" s="99"/>
    </row>
    <row r="78" spans="4:4">
      <c r="D78" s="99"/>
    </row>
    <row r="79" spans="4:4">
      <c r="D79" s="99"/>
    </row>
    <row r="80" spans="4:4">
      <c r="D80" s="99"/>
    </row>
    <row r="81" spans="4:4">
      <c r="D81" s="99"/>
    </row>
    <row r="82" spans="4:4">
      <c r="D82" s="99"/>
    </row>
    <row r="83" spans="4:4">
      <c r="D83" s="99"/>
    </row>
    <row r="84" spans="4:4">
      <c r="D84" s="99"/>
    </row>
    <row r="85" spans="4:4">
      <c r="D85" s="99"/>
    </row>
    <row r="86" spans="4:4">
      <c r="D86" s="99"/>
    </row>
    <row r="87" spans="4:4">
      <c r="D87" s="99"/>
    </row>
    <row r="88" spans="4:4">
      <c r="D88" s="99"/>
    </row>
    <row r="89" spans="4:4">
      <c r="D89" s="99"/>
    </row>
    <row r="90" spans="4:4">
      <c r="D90" s="99"/>
    </row>
    <row r="91" spans="4:4">
      <c r="D91" s="99"/>
    </row>
    <row r="92" spans="4:4">
      <c r="D92" s="99"/>
    </row>
    <row r="93" spans="4:4">
      <c r="D93" s="99"/>
    </row>
    <row r="94" spans="4:4">
      <c r="D94" s="99"/>
    </row>
    <row r="95" spans="4:4">
      <c r="D95" s="99"/>
    </row>
    <row r="96" spans="4:4">
      <c r="D96" s="99"/>
    </row>
    <row r="97" spans="4:4">
      <c r="D97" s="99"/>
    </row>
    <row r="98" spans="4:4">
      <c r="D98" s="99"/>
    </row>
    <row r="99" spans="4:4">
      <c r="D99" s="99"/>
    </row>
    <row r="100" spans="4:4">
      <c r="D100" s="99"/>
    </row>
    <row r="101" spans="4:4">
      <c r="D101" s="99"/>
    </row>
    <row r="102" spans="4:4">
      <c r="D102" s="99"/>
    </row>
    <row r="103" spans="4:4">
      <c r="D103" s="99"/>
    </row>
    <row r="104" spans="4:4">
      <c r="D104" s="99"/>
    </row>
    <row r="105" spans="4:4">
      <c r="D105" s="99"/>
    </row>
    <row r="106" spans="4:4">
      <c r="D106" s="99"/>
    </row>
    <row r="107" spans="4:4">
      <c r="D107" s="99"/>
    </row>
    <row r="108" spans="4:4">
      <c r="D108" s="99"/>
    </row>
    <row r="109" spans="4:4">
      <c r="D109" s="99"/>
    </row>
    <row r="110" spans="4:4">
      <c r="D110" s="99"/>
    </row>
    <row r="111" spans="4:4">
      <c r="D111" s="99"/>
    </row>
    <row r="112" spans="4:4">
      <c r="D112" s="99"/>
    </row>
    <row r="113" spans="4:4">
      <c r="D113" s="99"/>
    </row>
    <row r="114" spans="4:4">
      <c r="D114" s="99"/>
    </row>
    <row r="115" spans="4:4">
      <c r="D115" s="99"/>
    </row>
    <row r="116" spans="4:4">
      <c r="D116" s="99"/>
    </row>
    <row r="117" spans="4:4">
      <c r="D117" s="99"/>
    </row>
    <row r="118" spans="4:4">
      <c r="D118" s="99"/>
    </row>
    <row r="119" spans="4:4">
      <c r="D119" s="99"/>
    </row>
    <row r="120" spans="4:4">
      <c r="D120" s="99"/>
    </row>
    <row r="121" spans="4:4">
      <c r="D121" s="99"/>
    </row>
    <row r="122" spans="4:4">
      <c r="D122" s="99"/>
    </row>
    <row r="123" spans="4:4">
      <c r="D123" s="99"/>
    </row>
    <row r="124" spans="4:4">
      <c r="D124" s="99"/>
    </row>
    <row r="125" spans="4:4">
      <c r="D125" s="99"/>
    </row>
    <row r="126" spans="4:4">
      <c r="D126" s="99"/>
    </row>
    <row r="127" spans="4:4">
      <c r="D127" s="99"/>
    </row>
    <row r="128" spans="4:4">
      <c r="D128" s="99"/>
    </row>
    <row r="129" spans="4:4">
      <c r="D129" s="99"/>
    </row>
    <row r="130" spans="4:4">
      <c r="D130" s="99"/>
    </row>
    <row r="131" spans="4:4">
      <c r="D131" s="99"/>
    </row>
    <row r="132" spans="4:4">
      <c r="D132" s="99"/>
    </row>
    <row r="133" spans="4:4">
      <c r="D133" s="99"/>
    </row>
    <row r="134" spans="4:4">
      <c r="D134" s="99"/>
    </row>
    <row r="135" spans="4:4">
      <c r="D135" s="99"/>
    </row>
    <row r="136" spans="4:4">
      <c r="D136" s="99"/>
    </row>
    <row r="137" spans="4:4">
      <c r="D137" s="99"/>
    </row>
    <row r="138" spans="4:4">
      <c r="D138" s="99"/>
    </row>
    <row r="139" spans="4:4">
      <c r="D139" s="99"/>
    </row>
    <row r="140" spans="4:4">
      <c r="D140" s="99"/>
    </row>
    <row r="141" spans="4:4">
      <c r="D141" s="99"/>
    </row>
    <row r="142" spans="4:4">
      <c r="D142" s="99"/>
    </row>
    <row r="143" spans="4:4">
      <c r="D143" s="99"/>
    </row>
    <row r="144" spans="4:4">
      <c r="D144" s="99"/>
    </row>
    <row r="145" spans="4:4">
      <c r="D145" s="99"/>
    </row>
    <row r="146" spans="4:4">
      <c r="D146" s="99"/>
    </row>
    <row r="147" spans="4:4">
      <c r="D147" s="99"/>
    </row>
    <row r="148" spans="4:4">
      <c r="D148" s="99"/>
    </row>
    <row r="149" spans="4:4">
      <c r="D149" s="99"/>
    </row>
    <row r="150" spans="4:4">
      <c r="D150" s="99"/>
    </row>
    <row r="151" spans="4:4">
      <c r="D151" s="99"/>
    </row>
    <row r="152" spans="4:4">
      <c r="D152" s="99"/>
    </row>
    <row r="153" spans="4:4">
      <c r="D153" s="99"/>
    </row>
    <row r="154" spans="4:4">
      <c r="D154" s="99"/>
    </row>
    <row r="155" spans="4:4">
      <c r="D155" s="99"/>
    </row>
    <row r="156" spans="4:4">
      <c r="D156" s="99"/>
    </row>
    <row r="157" spans="4:4">
      <c r="D157" s="99"/>
    </row>
    <row r="158" spans="4:4">
      <c r="D158" s="99"/>
    </row>
    <row r="159" spans="4:4">
      <c r="D159" s="99"/>
    </row>
    <row r="160" spans="4:4">
      <c r="D160" s="99"/>
    </row>
    <row r="161" spans="4:4">
      <c r="D161" s="99"/>
    </row>
    <row r="162" spans="4:4">
      <c r="D162" s="99"/>
    </row>
    <row r="163" spans="4:4">
      <c r="D163" s="99"/>
    </row>
    <row r="164" spans="4:4">
      <c r="D164" s="99"/>
    </row>
    <row r="165" spans="4:4">
      <c r="D165" s="99"/>
    </row>
    <row r="166" spans="4:4">
      <c r="D166" s="99"/>
    </row>
    <row r="167" spans="4:4">
      <c r="D167" s="99"/>
    </row>
    <row r="168" spans="4:4">
      <c r="D168" s="99"/>
    </row>
    <row r="169" spans="4:4">
      <c r="D169" s="99"/>
    </row>
    <row r="170" spans="4:4">
      <c r="D170" s="99"/>
    </row>
    <row r="171" spans="4:4">
      <c r="D171" s="99"/>
    </row>
    <row r="172" spans="4:4">
      <c r="D172" s="99"/>
    </row>
    <row r="173" spans="4:4">
      <c r="D173" s="99"/>
    </row>
    <row r="174" spans="4:4">
      <c r="D174" s="99"/>
    </row>
    <row r="175" spans="4:4">
      <c r="D175" s="99"/>
    </row>
    <row r="176" spans="4:4">
      <c r="D176" s="99"/>
    </row>
    <row r="177" spans="4:4">
      <c r="D177" s="99"/>
    </row>
    <row r="178" spans="4:4">
      <c r="D178" s="99"/>
    </row>
    <row r="179" spans="4:4">
      <c r="D179" s="99"/>
    </row>
    <row r="180" spans="4:4">
      <c r="D180" s="99"/>
    </row>
    <row r="181" spans="4:4">
      <c r="D181" s="99"/>
    </row>
    <row r="182" spans="4:4">
      <c r="D182" s="99"/>
    </row>
    <row r="183" spans="4:4">
      <c r="D183" s="99"/>
    </row>
    <row r="184" spans="4:4">
      <c r="D184" s="99"/>
    </row>
    <row r="185" spans="4:4">
      <c r="D185" s="99"/>
    </row>
    <row r="186" spans="4:4">
      <c r="D186" s="99"/>
    </row>
    <row r="187" spans="4:4">
      <c r="D187" s="99"/>
    </row>
    <row r="188" spans="4:4">
      <c r="D188" s="99"/>
    </row>
    <row r="189" spans="4:4">
      <c r="D189" s="99"/>
    </row>
    <row r="190" spans="4:4">
      <c r="D190" s="99"/>
    </row>
    <row r="191" spans="4:4">
      <c r="D191" s="99"/>
    </row>
    <row r="192" spans="4:4">
      <c r="D192" s="99"/>
    </row>
    <row r="193" spans="4:4">
      <c r="D193" s="99"/>
    </row>
    <row r="194" spans="4:4">
      <c r="D194" s="99"/>
    </row>
    <row r="195" spans="4:4">
      <c r="D195" s="99"/>
    </row>
    <row r="196" spans="4:4">
      <c r="D196" s="99"/>
    </row>
    <row r="197" spans="4:4">
      <c r="D197" s="99"/>
    </row>
    <row r="198" spans="4:4">
      <c r="D198" s="99"/>
    </row>
    <row r="199" spans="4:4">
      <c r="D199" s="99"/>
    </row>
    <row r="200" spans="4:4">
      <c r="D200" s="99"/>
    </row>
    <row r="201" spans="4:4">
      <c r="D201" s="99"/>
    </row>
    <row r="202" spans="4:4">
      <c r="D202" s="99"/>
    </row>
    <row r="203" spans="4:4">
      <c r="D203" s="99"/>
    </row>
    <row r="204" spans="4:4">
      <c r="D204" s="99"/>
    </row>
    <row r="205" spans="4:4">
      <c r="D205" s="99"/>
    </row>
    <row r="206" spans="4:4">
      <c r="D206" s="99"/>
    </row>
    <row r="207" spans="4:4">
      <c r="D207" s="99"/>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EAFEBA6E-A9B9-45F6-A820-D86CAC134B50}">
      <formula1>"Yes, No"</formula1>
    </dataValidation>
    <dataValidation type="list" allowBlank="1" showInputMessage="1" showErrorMessage="1" sqref="D9:D207" xr:uid="{04D3F05C-89CD-42F3-BAA6-D842F8C409DE}">
      <formula1>"Account, Boolean, Date, DateTime, Duration, Email, Enum, GeoJSON, Help Text, If/Then, Image, Integer, Number, Postfix, Prefix, String, Time, URL"</formula1>
    </dataValidation>
    <dataValidation type="list" allowBlank="1" showInputMessage="1" showErrorMessage="1" sqref="G3:G5" xr:uid="{188B90D6-713E-4363-A2B5-19F517D7F668}">
      <formula1>"Option 1,Option 2"</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39463-AFCF-42C9-9733-FF344E7E8DD2}">
  <dimension ref="A1:H51"/>
  <sheetViews>
    <sheetView workbookViewId="0">
      <selection activeCell="I8" sqref="I8"/>
    </sheetView>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6.25">
      <c r="A1" s="173" t="s">
        <v>360</v>
      </c>
      <c r="B1" s="173" t="s">
        <v>9</v>
      </c>
      <c r="C1" s="173" t="s">
        <v>8</v>
      </c>
      <c r="D1" s="172" t="s">
        <v>7</v>
      </c>
      <c r="E1" s="172" t="s">
        <v>1</v>
      </c>
      <c r="F1" s="172" t="s">
        <v>362</v>
      </c>
      <c r="G1" s="172" t="s">
        <v>363</v>
      </c>
      <c r="H1" s="172" t="s">
        <v>364</v>
      </c>
    </row>
    <row r="2" spans="1:8" ht="18.75">
      <c r="A2" s="196" t="s">
        <v>1023</v>
      </c>
      <c r="B2" s="196"/>
      <c r="C2" s="196"/>
      <c r="D2" s="196"/>
      <c r="E2" s="196"/>
      <c r="F2" s="196"/>
      <c r="G2" s="196"/>
      <c r="H2" s="196"/>
    </row>
    <row r="3" spans="1:8" ht="105">
      <c r="A3" s="99" t="s">
        <v>14</v>
      </c>
      <c r="B3" s="99"/>
      <c r="C3" s="99" t="s">
        <v>16</v>
      </c>
      <c r="D3" s="99" t="s">
        <v>668</v>
      </c>
      <c r="F3" s="1" t="s">
        <v>1024</v>
      </c>
      <c r="G3" t="s">
        <v>347</v>
      </c>
    </row>
    <row r="4" spans="1:8" ht="30">
      <c r="A4" s="174" t="s">
        <v>14</v>
      </c>
      <c r="B4" s="174"/>
      <c r="C4" s="174" t="s">
        <v>16</v>
      </c>
      <c r="D4" s="174" t="s">
        <v>906</v>
      </c>
      <c r="E4" s="22" t="s">
        <v>907</v>
      </c>
      <c r="F4" s="5" t="s">
        <v>908</v>
      </c>
      <c r="G4" s="34">
        <f>IF(AND(G3="Option A"),G6,IF(AND(G3="Option B"),G30))</f>
        <v>0.5164879</v>
      </c>
      <c r="H4" s="22"/>
    </row>
    <row r="5" spans="1:8" ht="18.75">
      <c r="A5" s="196" t="s">
        <v>909</v>
      </c>
      <c r="B5" s="196"/>
      <c r="C5" s="196"/>
      <c r="D5" s="196"/>
      <c r="E5" s="196"/>
      <c r="F5" s="196"/>
      <c r="G5" s="196"/>
      <c r="H5" s="196"/>
    </row>
    <row r="6" spans="1:8" ht="30">
      <c r="A6" s="174" t="s">
        <v>14</v>
      </c>
      <c r="B6" s="174"/>
      <c r="C6" s="174" t="s">
        <v>16</v>
      </c>
      <c r="D6" s="174" t="s">
        <v>906</v>
      </c>
      <c r="E6" s="22" t="s">
        <v>907</v>
      </c>
      <c r="F6" s="5" t="s">
        <v>908</v>
      </c>
      <c r="G6" s="34">
        <f>SUM(((G14*G11)/G14),((G23*G22)/G23),((G28*G27)/G28))</f>
        <v>0.5164879</v>
      </c>
      <c r="H6" s="22"/>
    </row>
    <row r="7" spans="1:8" ht="18.75">
      <c r="A7" s="196" t="s">
        <v>910</v>
      </c>
      <c r="B7" s="196"/>
      <c r="C7" s="196"/>
      <c r="D7" s="196"/>
      <c r="E7" s="196"/>
      <c r="F7" s="196"/>
      <c r="G7" s="196"/>
      <c r="H7" s="196"/>
    </row>
    <row r="8" spans="1:8" ht="18.75">
      <c r="A8" s="196" t="s">
        <v>911</v>
      </c>
      <c r="B8" s="196"/>
      <c r="C8" s="196"/>
      <c r="D8" s="196"/>
      <c r="E8" s="196"/>
      <c r="F8" s="196"/>
      <c r="G8" s="196"/>
      <c r="H8" s="196"/>
    </row>
    <row r="9" spans="1:8" ht="105">
      <c r="A9" s="99" t="s">
        <v>14</v>
      </c>
      <c r="B9" s="99"/>
      <c r="C9" s="99" t="s">
        <v>16</v>
      </c>
      <c r="D9" s="99" t="s">
        <v>668</v>
      </c>
      <c r="E9" t="s">
        <v>904</v>
      </c>
      <c r="F9" s="1" t="s">
        <v>912</v>
      </c>
      <c r="G9" t="s">
        <v>913</v>
      </c>
    </row>
    <row r="10" spans="1:8" ht="18.75">
      <c r="A10" s="196" t="s">
        <v>913</v>
      </c>
      <c r="B10" s="196"/>
      <c r="C10" s="196"/>
      <c r="D10" s="196"/>
      <c r="E10" s="196"/>
      <c r="F10" s="196"/>
      <c r="G10" s="196"/>
      <c r="H10" s="196"/>
    </row>
    <row r="11" spans="1:8">
      <c r="A11" s="174" t="s">
        <v>14</v>
      </c>
      <c r="B11" s="174"/>
      <c r="C11" s="174" t="s">
        <v>16</v>
      </c>
      <c r="D11" s="174" t="s">
        <v>906</v>
      </c>
      <c r="E11" s="22" t="s">
        <v>914</v>
      </c>
      <c r="F11" s="22" t="s">
        <v>915</v>
      </c>
      <c r="G11" s="34">
        <f>SUM((G18*G19*G20)/G14)</f>
        <v>7.0087900000000009E-2</v>
      </c>
      <c r="H11" s="22"/>
    </row>
    <row r="12" spans="1:8">
      <c r="A12" s="59" t="s">
        <v>14</v>
      </c>
      <c r="B12" s="59"/>
      <c r="C12" s="59" t="s">
        <v>14</v>
      </c>
      <c r="D12" s="99" t="s">
        <v>15</v>
      </c>
      <c r="E12" s="59" t="s">
        <v>916</v>
      </c>
      <c r="F12" s="59" t="s">
        <v>917</v>
      </c>
      <c r="G12" s="59"/>
      <c r="H12" s="59"/>
    </row>
    <row r="13" spans="1:8" ht="30">
      <c r="A13" s="59" t="s">
        <v>14</v>
      </c>
      <c r="B13" s="99"/>
      <c r="C13" s="59" t="s">
        <v>14</v>
      </c>
      <c r="D13" s="99" t="s">
        <v>15</v>
      </c>
      <c r="E13" t="s">
        <v>918</v>
      </c>
      <c r="F13" s="1" t="s">
        <v>1025</v>
      </c>
      <c r="G13" t="s">
        <v>920</v>
      </c>
    </row>
    <row r="14" spans="1:8" ht="30">
      <c r="A14" s="59" t="s">
        <v>14</v>
      </c>
      <c r="B14" s="99"/>
      <c r="C14" s="59" t="s">
        <v>14</v>
      </c>
      <c r="D14" s="99" t="s">
        <v>91</v>
      </c>
      <c r="E14" t="s">
        <v>921</v>
      </c>
      <c r="F14" s="1" t="s">
        <v>922</v>
      </c>
      <c r="G14" s="41">
        <v>40</v>
      </c>
    </row>
    <row r="15" spans="1:8">
      <c r="A15" s="59" t="s">
        <v>14</v>
      </c>
      <c r="B15" s="99"/>
      <c r="C15" s="59" t="s">
        <v>14</v>
      </c>
      <c r="D15" s="99" t="s">
        <v>15</v>
      </c>
      <c r="E15" t="s">
        <v>528</v>
      </c>
      <c r="F15" t="s">
        <v>923</v>
      </c>
      <c r="G15" s="41">
        <v>2009</v>
      </c>
    </row>
    <row r="16" spans="1:8" ht="18.75">
      <c r="A16" s="192" t="s">
        <v>924</v>
      </c>
      <c r="B16" s="192"/>
      <c r="C16" s="192"/>
      <c r="D16" s="192"/>
      <c r="E16" s="192"/>
      <c r="F16" s="192"/>
      <c r="G16" s="192"/>
      <c r="H16" s="192"/>
    </row>
    <row r="17" spans="1:8">
      <c r="A17" s="59" t="s">
        <v>14</v>
      </c>
      <c r="B17" s="59"/>
      <c r="C17" s="59" t="s">
        <v>14</v>
      </c>
      <c r="D17" s="99" t="s">
        <v>15</v>
      </c>
      <c r="E17" s="59" t="s">
        <v>916</v>
      </c>
      <c r="F17" s="59" t="s">
        <v>917</v>
      </c>
      <c r="G17" s="59" t="s">
        <v>925</v>
      </c>
      <c r="H17" s="59"/>
    </row>
    <row r="18" spans="1:8" ht="30">
      <c r="A18" s="59" t="s">
        <v>14</v>
      </c>
      <c r="C18" s="59" t="s">
        <v>14</v>
      </c>
      <c r="D18" s="99" t="s">
        <v>91</v>
      </c>
      <c r="E18" t="s">
        <v>926</v>
      </c>
      <c r="F18" s="1" t="s">
        <v>927</v>
      </c>
      <c r="G18" s="41">
        <v>1</v>
      </c>
    </row>
    <row r="19" spans="1:8" ht="30">
      <c r="A19" s="59" t="s">
        <v>14</v>
      </c>
      <c r="C19" s="59" t="s">
        <v>14</v>
      </c>
      <c r="D19" s="99" t="s">
        <v>91</v>
      </c>
      <c r="E19" t="s">
        <v>928</v>
      </c>
      <c r="F19" s="1" t="s">
        <v>929</v>
      </c>
      <c r="G19" s="41">
        <v>22.609000000000002</v>
      </c>
    </row>
    <row r="20" spans="1:8">
      <c r="A20" s="59" t="s">
        <v>14</v>
      </c>
      <c r="C20" s="59" t="s">
        <v>14</v>
      </c>
      <c r="D20" s="99" t="s">
        <v>91</v>
      </c>
      <c r="E20" t="s">
        <v>930</v>
      </c>
      <c r="F20" t="s">
        <v>931</v>
      </c>
      <c r="G20" s="41">
        <v>0.124</v>
      </c>
    </row>
    <row r="21" spans="1:8" ht="18.75">
      <c r="A21" s="196" t="s">
        <v>630</v>
      </c>
      <c r="B21" s="196"/>
      <c r="C21" s="196"/>
      <c r="D21" s="196"/>
      <c r="E21" s="196"/>
      <c r="F21" s="196"/>
      <c r="G21" s="196"/>
      <c r="H21" s="196"/>
    </row>
    <row r="22" spans="1:8">
      <c r="A22" s="174" t="s">
        <v>14</v>
      </c>
      <c r="B22" s="174"/>
      <c r="C22" s="174" t="s">
        <v>16</v>
      </c>
      <c r="D22" s="174" t="s">
        <v>906</v>
      </c>
      <c r="E22" s="22" t="s">
        <v>914</v>
      </c>
      <c r="F22" s="5" t="s">
        <v>932</v>
      </c>
      <c r="G22" s="34">
        <f>(G24*3.6)/G25</f>
        <v>0.44640000000000002</v>
      </c>
      <c r="H22" s="22"/>
    </row>
    <row r="23" spans="1:8" ht="30">
      <c r="A23" s="99" t="s">
        <v>14</v>
      </c>
      <c r="B23" s="99"/>
      <c r="C23" s="99" t="s">
        <v>14</v>
      </c>
      <c r="D23" s="99" t="s">
        <v>91</v>
      </c>
      <c r="E23" t="s">
        <v>921</v>
      </c>
      <c r="F23" s="1" t="s">
        <v>922</v>
      </c>
      <c r="G23" s="41">
        <v>40</v>
      </c>
    </row>
    <row r="24" spans="1:8" ht="30">
      <c r="A24" s="99" t="s">
        <v>14</v>
      </c>
      <c r="B24" s="99"/>
      <c r="C24" s="99" t="s">
        <v>14</v>
      </c>
      <c r="D24" s="99" t="s">
        <v>91</v>
      </c>
      <c r="E24" t="s">
        <v>933</v>
      </c>
      <c r="F24" s="1" t="s">
        <v>934</v>
      </c>
      <c r="G24" s="41">
        <v>0.124</v>
      </c>
    </row>
    <row r="25" spans="1:8" ht="30">
      <c r="A25" s="99" t="s">
        <v>14</v>
      </c>
      <c r="B25" s="99"/>
      <c r="C25" s="99" t="s">
        <v>14</v>
      </c>
      <c r="D25" s="99" t="s">
        <v>91</v>
      </c>
      <c r="E25" t="s">
        <v>935</v>
      </c>
      <c r="F25" s="1" t="s">
        <v>936</v>
      </c>
      <c r="G25" s="41">
        <v>1</v>
      </c>
    </row>
    <row r="26" spans="1:8" ht="18.75">
      <c r="A26" s="192" t="s">
        <v>937</v>
      </c>
      <c r="B26" s="192"/>
      <c r="C26" s="192"/>
      <c r="D26" s="192"/>
      <c r="E26" s="192"/>
      <c r="F26" s="192"/>
      <c r="G26" s="192"/>
      <c r="H26" s="192"/>
    </row>
    <row r="27" spans="1:8">
      <c r="A27" s="174" t="s">
        <v>14</v>
      </c>
      <c r="B27" s="174"/>
      <c r="C27" s="174" t="s">
        <v>16</v>
      </c>
      <c r="D27" s="174" t="s">
        <v>906</v>
      </c>
      <c r="E27" s="22" t="s">
        <v>914</v>
      </c>
      <c r="F27" s="5" t="s">
        <v>915</v>
      </c>
      <c r="G27" s="34">
        <f>0</f>
        <v>0</v>
      </c>
      <c r="H27" s="22"/>
    </row>
    <row r="28" spans="1:8" ht="30">
      <c r="A28" s="99" t="s">
        <v>14</v>
      </c>
      <c r="B28" s="99"/>
      <c r="C28" s="99" t="s">
        <v>14</v>
      </c>
      <c r="D28" s="99" t="s">
        <v>91</v>
      </c>
      <c r="E28" t="s">
        <v>921</v>
      </c>
      <c r="F28" s="1" t="s">
        <v>922</v>
      </c>
      <c r="G28" s="41">
        <v>40</v>
      </c>
    </row>
    <row r="29" spans="1:8" ht="18.75">
      <c r="A29" s="196" t="s">
        <v>938</v>
      </c>
      <c r="B29" s="196"/>
      <c r="C29" s="196"/>
      <c r="D29" s="196"/>
      <c r="E29" s="196"/>
      <c r="F29" s="196"/>
      <c r="G29" s="196"/>
      <c r="H29" s="196"/>
    </row>
    <row r="30" spans="1:8">
      <c r="A30" s="22" t="s">
        <v>14</v>
      </c>
      <c r="B30" s="22"/>
      <c r="C30" s="22" t="s">
        <v>16</v>
      </c>
      <c r="D30" s="174" t="s">
        <v>906</v>
      </c>
      <c r="E30" s="22" t="s">
        <v>907</v>
      </c>
      <c r="F30" s="22" t="s">
        <v>939</v>
      </c>
      <c r="G30" s="34">
        <f>SUM((G34*G35*G36),(G39*G40*G41),(G44*G45*G46),(G49*G50*G51))/G31</f>
        <v>0.22195375000000001</v>
      </c>
      <c r="H30" s="22"/>
    </row>
    <row r="31" spans="1:8" ht="45">
      <c r="A31" t="s">
        <v>14</v>
      </c>
      <c r="C31" t="s">
        <v>14</v>
      </c>
      <c r="D31" s="99" t="s">
        <v>91</v>
      </c>
      <c r="E31" t="s">
        <v>940</v>
      </c>
      <c r="F31" s="1" t="s">
        <v>1026</v>
      </c>
      <c r="G31" s="41">
        <v>40</v>
      </c>
    </row>
    <row r="32" spans="1:8" ht="18.75">
      <c r="A32" s="192" t="s">
        <v>924</v>
      </c>
      <c r="B32" s="192"/>
      <c r="C32" s="192"/>
      <c r="D32" s="192"/>
      <c r="E32" s="192"/>
      <c r="F32" s="192"/>
      <c r="G32" s="192"/>
      <c r="H32" s="192"/>
    </row>
    <row r="33" spans="1:8">
      <c r="A33" s="59" t="s">
        <v>14</v>
      </c>
      <c r="B33" s="59"/>
      <c r="C33" s="59" t="s">
        <v>14</v>
      </c>
      <c r="D33" s="99" t="s">
        <v>15</v>
      </c>
      <c r="E33" s="59" t="s">
        <v>916</v>
      </c>
      <c r="F33" s="59" t="s">
        <v>917</v>
      </c>
      <c r="G33" s="59" t="s">
        <v>925</v>
      </c>
      <c r="H33" s="59"/>
    </row>
    <row r="34" spans="1:8" ht="30">
      <c r="A34" t="s">
        <v>14</v>
      </c>
      <c r="C34" t="s">
        <v>14</v>
      </c>
      <c r="D34" s="99" t="s">
        <v>91</v>
      </c>
      <c r="E34" t="s">
        <v>942</v>
      </c>
      <c r="F34" s="1" t="s">
        <v>927</v>
      </c>
      <c r="G34" s="41">
        <v>1</v>
      </c>
    </row>
    <row r="35" spans="1:8" ht="30">
      <c r="A35" t="s">
        <v>14</v>
      </c>
      <c r="C35" t="s">
        <v>14</v>
      </c>
      <c r="D35" s="99" t="s">
        <v>91</v>
      </c>
      <c r="E35" t="s">
        <v>928</v>
      </c>
      <c r="F35" s="1" t="s">
        <v>929</v>
      </c>
      <c r="G35" s="41">
        <v>22.609000000000002</v>
      </c>
    </row>
    <row r="36" spans="1:8">
      <c r="A36" t="s">
        <v>14</v>
      </c>
      <c r="C36" t="s">
        <v>14</v>
      </c>
      <c r="D36" s="99" t="s">
        <v>91</v>
      </c>
      <c r="E36" t="s">
        <v>930</v>
      </c>
      <c r="F36" t="s">
        <v>931</v>
      </c>
      <c r="G36" s="41">
        <v>0.12</v>
      </c>
    </row>
    <row r="37" spans="1:8" ht="18.75">
      <c r="A37" s="192" t="s">
        <v>924</v>
      </c>
      <c r="B37" s="192"/>
      <c r="C37" s="192"/>
      <c r="D37" s="192"/>
      <c r="E37" s="192"/>
      <c r="F37" s="192"/>
      <c r="G37" s="192"/>
      <c r="H37" s="192"/>
    </row>
    <row r="38" spans="1:8">
      <c r="A38" s="59" t="s">
        <v>14</v>
      </c>
      <c r="B38" s="59"/>
      <c r="C38" s="59" t="s">
        <v>14</v>
      </c>
      <c r="D38" s="99" t="s">
        <v>15</v>
      </c>
      <c r="E38" s="59" t="s">
        <v>916</v>
      </c>
      <c r="F38" s="59" t="s">
        <v>917</v>
      </c>
      <c r="G38" s="59" t="s">
        <v>943</v>
      </c>
      <c r="H38" s="59"/>
    </row>
    <row r="39" spans="1:8" ht="30">
      <c r="A39" t="s">
        <v>14</v>
      </c>
      <c r="C39" t="s">
        <v>14</v>
      </c>
      <c r="D39" s="99" t="s">
        <v>91</v>
      </c>
      <c r="E39" t="s">
        <v>942</v>
      </c>
      <c r="F39" s="1" t="s">
        <v>927</v>
      </c>
      <c r="G39" s="41">
        <v>1</v>
      </c>
    </row>
    <row r="40" spans="1:8" ht="30">
      <c r="A40" t="s">
        <v>14</v>
      </c>
      <c r="C40" t="s">
        <v>14</v>
      </c>
      <c r="D40" s="99" t="s">
        <v>91</v>
      </c>
      <c r="E40" t="s">
        <v>928</v>
      </c>
      <c r="F40" s="1" t="s">
        <v>929</v>
      </c>
      <c r="G40" s="41">
        <v>38.936999999999998</v>
      </c>
    </row>
    <row r="41" spans="1:8">
      <c r="A41" t="s">
        <v>14</v>
      </c>
      <c r="C41" t="s">
        <v>14</v>
      </c>
      <c r="D41" s="99" t="s">
        <v>91</v>
      </c>
      <c r="E41" t="s">
        <v>930</v>
      </c>
      <c r="F41" t="s">
        <v>931</v>
      </c>
      <c r="G41" s="41">
        <v>0.08</v>
      </c>
    </row>
    <row r="42" spans="1:8" ht="18.75">
      <c r="A42" s="192" t="s">
        <v>924</v>
      </c>
      <c r="B42" s="192"/>
      <c r="C42" s="192"/>
      <c r="D42" s="192"/>
      <c r="E42" s="192"/>
      <c r="F42" s="192"/>
      <c r="G42" s="192"/>
      <c r="H42" s="192"/>
    </row>
    <row r="43" spans="1:8">
      <c r="A43" s="59" t="s">
        <v>14</v>
      </c>
      <c r="B43" s="59"/>
      <c r="C43" s="59" t="s">
        <v>14</v>
      </c>
      <c r="D43" s="99" t="s">
        <v>15</v>
      </c>
      <c r="E43" s="59" t="s">
        <v>916</v>
      </c>
      <c r="F43" s="59" t="s">
        <v>917</v>
      </c>
      <c r="G43" s="59" t="s">
        <v>943</v>
      </c>
      <c r="H43" s="59"/>
    </row>
    <row r="44" spans="1:8" ht="30">
      <c r="A44" t="s">
        <v>14</v>
      </c>
      <c r="C44" t="s">
        <v>14</v>
      </c>
      <c r="D44" s="99" t="s">
        <v>91</v>
      </c>
      <c r="E44" t="s">
        <v>942</v>
      </c>
      <c r="F44" s="1" t="s">
        <v>927</v>
      </c>
      <c r="G44" s="41">
        <v>1</v>
      </c>
    </row>
    <row r="45" spans="1:8" ht="30">
      <c r="A45" t="s">
        <v>14</v>
      </c>
      <c r="C45" t="s">
        <v>14</v>
      </c>
      <c r="D45" s="99" t="s">
        <v>91</v>
      </c>
      <c r="E45" t="s">
        <v>928</v>
      </c>
      <c r="F45" s="1" t="s">
        <v>929</v>
      </c>
      <c r="G45" s="41">
        <v>3.5000000000000003E-2</v>
      </c>
    </row>
    <row r="46" spans="1:8">
      <c r="A46" t="s">
        <v>14</v>
      </c>
      <c r="C46" t="s">
        <v>14</v>
      </c>
      <c r="D46" s="99" t="s">
        <v>91</v>
      </c>
      <c r="E46" t="s">
        <v>930</v>
      </c>
      <c r="F46" t="s">
        <v>931</v>
      </c>
      <c r="G46" s="41">
        <v>0.06</v>
      </c>
    </row>
    <row r="47" spans="1:8" ht="18.75">
      <c r="A47" s="192" t="s">
        <v>924</v>
      </c>
      <c r="B47" s="192"/>
      <c r="C47" s="192"/>
      <c r="D47" s="192"/>
      <c r="E47" s="192"/>
      <c r="F47" s="192"/>
      <c r="G47" s="192"/>
      <c r="H47" s="192"/>
    </row>
    <row r="48" spans="1:8">
      <c r="A48" s="59" t="s">
        <v>14</v>
      </c>
      <c r="B48" s="59"/>
      <c r="C48" s="59" t="s">
        <v>14</v>
      </c>
      <c r="D48" s="99" t="s">
        <v>15</v>
      </c>
      <c r="E48" s="59" t="s">
        <v>916</v>
      </c>
      <c r="F48" s="59" t="s">
        <v>917</v>
      </c>
      <c r="G48" s="59" t="s">
        <v>943</v>
      </c>
      <c r="H48" s="59"/>
    </row>
    <row r="49" spans="1:7" ht="30">
      <c r="A49" t="s">
        <v>14</v>
      </c>
      <c r="C49" t="s">
        <v>14</v>
      </c>
      <c r="D49" s="99" t="s">
        <v>91</v>
      </c>
      <c r="E49" t="s">
        <v>942</v>
      </c>
      <c r="F49" s="1" t="s">
        <v>927</v>
      </c>
      <c r="G49" s="41">
        <v>1</v>
      </c>
    </row>
    <row r="50" spans="1:7" ht="30">
      <c r="A50" t="s">
        <v>14</v>
      </c>
      <c r="C50" t="s">
        <v>14</v>
      </c>
      <c r="D50" s="99" t="s">
        <v>91</v>
      </c>
      <c r="E50" t="s">
        <v>928</v>
      </c>
      <c r="F50" s="1" t="s">
        <v>929</v>
      </c>
      <c r="G50" s="41">
        <v>43.542999999999999</v>
      </c>
    </row>
    <row r="51" spans="1:7">
      <c r="A51" t="s">
        <v>14</v>
      </c>
      <c r="C51" t="s">
        <v>14</v>
      </c>
      <c r="D51" s="99" t="s">
        <v>91</v>
      </c>
      <c r="E51" t="s">
        <v>930</v>
      </c>
      <c r="F51" t="s">
        <v>931</v>
      </c>
      <c r="G51" s="41">
        <v>7.0000000000000007E-2</v>
      </c>
    </row>
  </sheetData>
  <mergeCells count="13">
    <mergeCell ref="A47:H47"/>
    <mergeCell ref="A21:H21"/>
    <mergeCell ref="A26:H26"/>
    <mergeCell ref="A29:H29"/>
    <mergeCell ref="A32:H32"/>
    <mergeCell ref="A37:H37"/>
    <mergeCell ref="A42:H42"/>
    <mergeCell ref="A16:H16"/>
    <mergeCell ref="A2:H2"/>
    <mergeCell ref="A5:H5"/>
    <mergeCell ref="A7:H7"/>
    <mergeCell ref="A8:H8"/>
    <mergeCell ref="A10:H10"/>
  </mergeCells>
  <dataValidations count="4">
    <dataValidation type="list" allowBlank="1" showInputMessage="1" showErrorMessage="1" sqref="D6 D17:D20 D27:D28 D48:D51 D22:D25 D30:D31 D9 D11:D15 D33:D36 D38:D41 D43:D46 D3:D4" xr:uid="{83F9FE6A-8CE8-45A1-A50A-1BE724C477CB}">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C34B6839-B301-4BA4-8010-087593D031A2}">
      <formula1>"Yes, No"</formula1>
    </dataValidation>
    <dataValidation type="list" allowBlank="1" showInputMessage="1" showErrorMessage="1" sqref="G3" xr:uid="{7800E853-03BD-4560-8441-5491F2BC542E}">
      <formula1>"Option A, Option B"</formula1>
    </dataValidation>
    <dataValidation type="list" allowBlank="1" showInputMessage="1" showErrorMessage="1" sqref="G9" xr:uid="{41DD7C35-0AAF-43DF-A10F-169719A3F9C0}">
      <formula1>"Option A1, Option A2, Option A3"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485EC-1FF8-45DE-9197-84B7B5988867}">
  <dimension ref="A1:G32"/>
  <sheetViews>
    <sheetView workbookViewId="0">
      <selection activeCell="A11" sqref="A11"/>
    </sheetView>
  </sheetViews>
  <sheetFormatPr defaultRowHeight="15"/>
  <cols>
    <col min="1" max="1" width="146.140625" customWidth="1"/>
  </cols>
  <sheetData>
    <row r="1" spans="1:7" s="41" customFormat="1" ht="150">
      <c r="A1" s="120" t="s">
        <v>311</v>
      </c>
      <c r="B1" s="92"/>
      <c r="C1" s="92"/>
      <c r="D1" s="92"/>
      <c r="E1" s="92"/>
      <c r="F1" s="92"/>
      <c r="G1" s="92"/>
    </row>
    <row r="2" spans="1:7">
      <c r="A2" t="s">
        <v>312</v>
      </c>
    </row>
    <row r="3" spans="1:7">
      <c r="A3" t="s">
        <v>313</v>
      </c>
    </row>
    <row r="4" spans="1:7">
      <c r="A4" t="s">
        <v>314</v>
      </c>
    </row>
    <row r="5" spans="1:7">
      <c r="A5" t="s">
        <v>315</v>
      </c>
    </row>
    <row r="6" spans="1:7">
      <c r="A6" t="s">
        <v>316</v>
      </c>
    </row>
    <row r="7" spans="1:7">
      <c r="A7" t="s">
        <v>317</v>
      </c>
    </row>
    <row r="8" spans="1:7">
      <c r="A8" t="s">
        <v>318</v>
      </c>
    </row>
    <row r="9" spans="1:7">
      <c r="A9" t="s">
        <v>319</v>
      </c>
    </row>
    <row r="10" spans="1:7">
      <c r="A10" t="s">
        <v>320</v>
      </c>
    </row>
    <row r="11" spans="1:7" ht="270">
      <c r="A11" s="1" t="s">
        <v>321</v>
      </c>
    </row>
    <row r="12" spans="1:7">
      <c r="A12" t="s">
        <v>322</v>
      </c>
    </row>
    <row r="13" spans="1:7">
      <c r="A13" t="s">
        <v>323</v>
      </c>
    </row>
    <row r="14" spans="1:7">
      <c r="A14" t="s">
        <v>324</v>
      </c>
    </row>
    <row r="15" spans="1:7">
      <c r="A15" t="s">
        <v>325</v>
      </c>
    </row>
    <row r="16" spans="1:7">
      <c r="A16" t="s">
        <v>326</v>
      </c>
    </row>
    <row r="17" spans="1:1">
      <c r="A17" t="s">
        <v>327</v>
      </c>
    </row>
    <row r="18" spans="1:1">
      <c r="A18" t="s">
        <v>328</v>
      </c>
    </row>
    <row r="19" spans="1:1" ht="90">
      <c r="A19" s="1" t="s">
        <v>329</v>
      </c>
    </row>
    <row r="20" spans="1:1" ht="165">
      <c r="A20" s="1" t="s">
        <v>330</v>
      </c>
    </row>
    <row r="21" spans="1:1" ht="180">
      <c r="A21" s="1" t="s">
        <v>331</v>
      </c>
    </row>
    <row r="22" spans="1:1">
      <c r="A22" t="s">
        <v>332</v>
      </c>
    </row>
    <row r="23" spans="1:1">
      <c r="A23" t="s">
        <v>333</v>
      </c>
    </row>
    <row r="24" spans="1:1">
      <c r="A24" t="s">
        <v>334</v>
      </c>
    </row>
    <row r="25" spans="1:1">
      <c r="A25" t="s">
        <v>335</v>
      </c>
    </row>
    <row r="26" spans="1:1">
      <c r="A26" t="s">
        <v>336</v>
      </c>
    </row>
    <row r="27" spans="1:1">
      <c r="A27" t="s">
        <v>337</v>
      </c>
    </row>
    <row r="28" spans="1:1" ht="75">
      <c r="A28" s="1" t="s">
        <v>338</v>
      </c>
    </row>
    <row r="29" spans="1:1">
      <c r="A29" t="s">
        <v>339</v>
      </c>
    </row>
    <row r="30" spans="1:1">
      <c r="A30" t="s">
        <v>340</v>
      </c>
    </row>
    <row r="31" spans="1:1">
      <c r="A31" t="s">
        <v>341</v>
      </c>
    </row>
    <row r="32" spans="1:1">
      <c r="A32" t="s">
        <v>342</v>
      </c>
    </row>
  </sheetData>
  <phoneticPr fontId="6"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46AEA-E805-4E09-A4C9-78A1ACD4283A}">
  <dimension ref="A1:H17"/>
  <sheetViews>
    <sheetView workbookViewId="0">
      <selection activeCell="I8" sqref="I8"/>
    </sheetView>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173" t="s">
        <v>360</v>
      </c>
      <c r="B1" s="173" t="s">
        <v>9</v>
      </c>
      <c r="C1" s="173" t="s">
        <v>8</v>
      </c>
      <c r="D1" s="172" t="s">
        <v>7</v>
      </c>
      <c r="E1" s="172" t="s">
        <v>1</v>
      </c>
      <c r="F1" s="172" t="s">
        <v>362</v>
      </c>
      <c r="G1" s="172" t="s">
        <v>363</v>
      </c>
      <c r="H1" s="172" t="s">
        <v>364</v>
      </c>
    </row>
    <row r="2" spans="1:8" ht="18.75">
      <c r="A2" s="196" t="s">
        <v>1027</v>
      </c>
      <c r="B2" s="196"/>
      <c r="C2" s="196"/>
      <c r="D2" s="196"/>
      <c r="E2" s="196"/>
      <c r="F2" s="196"/>
      <c r="G2" s="196"/>
      <c r="H2" s="196"/>
    </row>
    <row r="3" spans="1:8">
      <c r="A3" s="22" t="s">
        <v>14</v>
      </c>
      <c r="B3" s="22"/>
      <c r="C3" s="22" t="s">
        <v>16</v>
      </c>
      <c r="D3" s="22" t="s">
        <v>906</v>
      </c>
      <c r="E3" s="22" t="s">
        <v>1028</v>
      </c>
      <c r="F3" s="22" t="s">
        <v>1029</v>
      </c>
      <c r="G3" s="34">
        <f>(SUM(G11,G16)*SUM(G12,G17))/SUM(G11,G16)</f>
        <v>0.70279999999999998</v>
      </c>
      <c r="H3" s="22"/>
    </row>
    <row r="4" spans="1:8" ht="18.75">
      <c r="A4" s="196" t="s">
        <v>1030</v>
      </c>
      <c r="B4" s="196"/>
      <c r="C4" s="196"/>
      <c r="D4" s="196"/>
      <c r="E4" s="196"/>
      <c r="F4" s="196"/>
      <c r="G4" s="196"/>
      <c r="H4" s="196"/>
    </row>
    <row r="5" spans="1:8" ht="360">
      <c r="D5" t="s">
        <v>5</v>
      </c>
      <c r="E5" t="s">
        <v>1031</v>
      </c>
      <c r="F5" s="1" t="s">
        <v>1032</v>
      </c>
      <c r="G5" s="41"/>
    </row>
    <row r="6" spans="1:8">
      <c r="A6" t="s">
        <v>14</v>
      </c>
      <c r="C6" t="s">
        <v>14</v>
      </c>
      <c r="D6" t="s">
        <v>91</v>
      </c>
      <c r="E6" t="s">
        <v>971</v>
      </c>
      <c r="F6" s="1" t="s">
        <v>1033</v>
      </c>
      <c r="G6" s="41">
        <v>2009</v>
      </c>
    </row>
    <row r="7" spans="1:8">
      <c r="A7" t="s">
        <v>14</v>
      </c>
      <c r="C7" t="s">
        <v>14</v>
      </c>
      <c r="D7" t="s">
        <v>91</v>
      </c>
      <c r="E7" t="s">
        <v>1034</v>
      </c>
      <c r="F7" t="s">
        <v>1035</v>
      </c>
      <c r="G7" s="41">
        <v>40</v>
      </c>
    </row>
    <row r="8" spans="1:8" ht="18.75">
      <c r="A8" s="196" t="s">
        <v>1036</v>
      </c>
      <c r="B8" s="196"/>
      <c r="C8" s="196"/>
      <c r="D8" s="196"/>
      <c r="E8" s="196"/>
      <c r="F8" s="196"/>
      <c r="G8" s="196"/>
      <c r="H8" s="196"/>
    </row>
    <row r="9" spans="1:8">
      <c r="A9" t="s">
        <v>14</v>
      </c>
      <c r="C9" t="s">
        <v>14</v>
      </c>
      <c r="D9" t="s">
        <v>91</v>
      </c>
      <c r="E9" t="s">
        <v>1037</v>
      </c>
      <c r="F9" t="s">
        <v>1038</v>
      </c>
      <c r="G9" s="41" t="s">
        <v>1039</v>
      </c>
    </row>
    <row r="10" spans="1:8">
      <c r="A10" t="s">
        <v>14</v>
      </c>
      <c r="C10" t="s">
        <v>14</v>
      </c>
      <c r="D10" t="s">
        <v>1040</v>
      </c>
      <c r="E10" t="s">
        <v>1041</v>
      </c>
      <c r="F10" t="s">
        <v>1042</v>
      </c>
      <c r="G10" s="181">
        <v>40165</v>
      </c>
    </row>
    <row r="11" spans="1:8">
      <c r="A11" t="s">
        <v>14</v>
      </c>
      <c r="C11" t="s">
        <v>14</v>
      </c>
      <c r="D11" t="s">
        <v>91</v>
      </c>
      <c r="E11" t="s">
        <v>921</v>
      </c>
      <c r="F11" t="s">
        <v>1043</v>
      </c>
      <c r="G11" s="41">
        <v>1444</v>
      </c>
    </row>
    <row r="12" spans="1:8">
      <c r="A12" t="s">
        <v>14</v>
      </c>
      <c r="C12" t="s">
        <v>14</v>
      </c>
      <c r="D12" t="s">
        <v>91</v>
      </c>
      <c r="E12" t="s">
        <v>914</v>
      </c>
      <c r="F12" t="s">
        <v>1044</v>
      </c>
      <c r="G12" s="41">
        <v>0</v>
      </c>
    </row>
    <row r="13" spans="1:8" ht="18.75">
      <c r="A13" s="196" t="s">
        <v>1036</v>
      </c>
      <c r="B13" s="196"/>
      <c r="C13" s="196"/>
      <c r="D13" s="196"/>
      <c r="E13" s="196"/>
      <c r="F13" s="196"/>
      <c r="G13" s="196"/>
      <c r="H13" s="196"/>
    </row>
    <row r="14" spans="1:8">
      <c r="A14" t="s">
        <v>14</v>
      </c>
      <c r="C14" t="s">
        <v>14</v>
      </c>
      <c r="D14" t="s">
        <v>91</v>
      </c>
      <c r="E14" t="s">
        <v>1037</v>
      </c>
      <c r="F14" t="s">
        <v>1038</v>
      </c>
      <c r="G14" s="41" t="s">
        <v>1045</v>
      </c>
    </row>
    <row r="15" spans="1:8">
      <c r="A15" t="s">
        <v>14</v>
      </c>
      <c r="C15" t="s">
        <v>14</v>
      </c>
      <c r="D15" t="s">
        <v>1040</v>
      </c>
      <c r="E15" t="s">
        <v>1041</v>
      </c>
      <c r="F15" t="s">
        <v>1042</v>
      </c>
      <c r="G15" s="181">
        <v>40108</v>
      </c>
    </row>
    <row r="16" spans="1:8">
      <c r="A16" t="s">
        <v>14</v>
      </c>
      <c r="C16" t="s">
        <v>14</v>
      </c>
      <c r="D16" t="s">
        <v>91</v>
      </c>
      <c r="E16" t="s">
        <v>921</v>
      </c>
      <c r="F16" t="s">
        <v>1043</v>
      </c>
      <c r="G16" s="41">
        <v>161</v>
      </c>
    </row>
    <row r="17" spans="1:7">
      <c r="A17" t="s">
        <v>14</v>
      </c>
      <c r="C17" t="s">
        <v>14</v>
      </c>
      <c r="D17" t="s">
        <v>91</v>
      </c>
      <c r="E17" t="s">
        <v>914</v>
      </c>
      <c r="F17" t="s">
        <v>1044</v>
      </c>
      <c r="G17" s="41">
        <v>0.70279999999999998</v>
      </c>
    </row>
  </sheetData>
  <mergeCells count="4">
    <mergeCell ref="A2:H2"/>
    <mergeCell ref="A4:H4"/>
    <mergeCell ref="A8:H8"/>
    <mergeCell ref="A13:H13"/>
  </mergeCells>
  <dataValidations count="2">
    <dataValidation type="list" allowBlank="1" showInputMessage="1" showErrorMessage="1" sqref="A3:C3 A5:C6 A9:C12 A14:C17" xr:uid="{C14C7596-30B0-4221-B935-51A37B7873E4}">
      <formula1>"Yes,No"</formula1>
    </dataValidation>
    <dataValidation type="list" allowBlank="1" showInputMessage="1" showErrorMessage="1" sqref="D3 D5:D6 D9:D12 D14:D17" xr:uid="{B2A4D72D-EE14-425F-939E-6FD671229B9B}">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5D6F-FEEC-4DC6-AB5E-2B0CE7917DCD}">
  <dimension ref="A1:H31"/>
  <sheetViews>
    <sheetView workbookViewId="0">
      <selection activeCell="I8" sqref="I8"/>
    </sheetView>
  </sheetViews>
  <sheetFormatPr defaultRowHeight="15"/>
  <cols>
    <col min="1" max="1" width="18.140625" bestFit="1" customWidth="1"/>
    <col min="2" max="2" width="24.5703125" bestFit="1" customWidth="1"/>
    <col min="3" max="3" width="29.28515625" bestFit="1" customWidth="1"/>
    <col min="4" max="4" width="16.140625" bestFit="1" customWidth="1"/>
    <col min="5" max="5" width="13.42578125" bestFit="1" customWidth="1"/>
    <col min="6" max="6" width="69.42578125" bestFit="1" customWidth="1"/>
    <col min="7" max="7" width="31.5703125" bestFit="1" customWidth="1"/>
    <col min="8" max="8" width="52.85546875" customWidth="1"/>
  </cols>
  <sheetData>
    <row r="1" spans="1:8" ht="18.75">
      <c r="A1" s="172" t="s">
        <v>360</v>
      </c>
      <c r="B1" s="172" t="s">
        <v>9</v>
      </c>
      <c r="C1" s="172" t="s">
        <v>8</v>
      </c>
      <c r="D1" s="172" t="s">
        <v>7</v>
      </c>
      <c r="E1" s="172" t="s">
        <v>1</v>
      </c>
      <c r="F1" s="172" t="s">
        <v>362</v>
      </c>
      <c r="G1" s="172" t="s">
        <v>363</v>
      </c>
      <c r="H1" s="172" t="s">
        <v>364</v>
      </c>
    </row>
    <row r="2" spans="1:8" ht="18.75">
      <c r="A2" s="196" t="s">
        <v>1046</v>
      </c>
      <c r="B2" s="196"/>
      <c r="C2" s="196"/>
      <c r="D2" s="196"/>
      <c r="E2" s="196"/>
      <c r="F2" s="196"/>
      <c r="G2" s="196"/>
      <c r="H2" s="196"/>
    </row>
    <row r="3" spans="1:8">
      <c r="A3" t="s">
        <v>14</v>
      </c>
      <c r="C3" t="s">
        <v>16</v>
      </c>
      <c r="D3" t="s">
        <v>668</v>
      </c>
      <c r="E3" t="s">
        <v>435</v>
      </c>
      <c r="F3" t="s">
        <v>1047</v>
      </c>
      <c r="G3" s="41" t="s">
        <v>16</v>
      </c>
    </row>
    <row r="4" spans="1:8">
      <c r="A4" t="s">
        <v>14</v>
      </c>
      <c r="C4" t="s">
        <v>16</v>
      </c>
      <c r="D4" t="s">
        <v>668</v>
      </c>
      <c r="E4" t="s">
        <v>435</v>
      </c>
      <c r="F4" t="s">
        <v>1048</v>
      </c>
      <c r="G4" s="41" t="s">
        <v>1049</v>
      </c>
    </row>
    <row r="5" spans="1:8">
      <c r="A5" t="s">
        <v>14</v>
      </c>
      <c r="C5" t="s">
        <v>16</v>
      </c>
      <c r="D5" t="s">
        <v>668</v>
      </c>
      <c r="E5" t="s">
        <v>435</v>
      </c>
      <c r="F5" t="s">
        <v>1050</v>
      </c>
      <c r="G5" s="41" t="s">
        <v>14</v>
      </c>
    </row>
    <row r="6" spans="1:8">
      <c r="A6" t="s">
        <v>14</v>
      </c>
      <c r="C6" t="s">
        <v>16</v>
      </c>
      <c r="D6" t="s">
        <v>668</v>
      </c>
      <c r="E6" t="s">
        <v>435</v>
      </c>
      <c r="F6" t="s">
        <v>1051</v>
      </c>
      <c r="G6" s="41" t="s">
        <v>1052</v>
      </c>
    </row>
    <row r="7" spans="1:8" ht="18.75">
      <c r="A7" s="196" t="s">
        <v>1053</v>
      </c>
      <c r="B7" s="196"/>
      <c r="C7" s="196"/>
      <c r="D7" s="196"/>
      <c r="E7" s="196"/>
      <c r="F7" s="196"/>
      <c r="G7" s="196"/>
      <c r="H7" s="196"/>
    </row>
    <row r="8" spans="1:8">
      <c r="A8" s="22" t="s">
        <v>14</v>
      </c>
      <c r="B8" s="22"/>
      <c r="C8" s="22" t="s">
        <v>16</v>
      </c>
      <c r="D8" s="22" t="s">
        <v>906</v>
      </c>
      <c r="E8" s="22" t="s">
        <v>1054</v>
      </c>
      <c r="F8" s="22" t="s">
        <v>1055</v>
      </c>
      <c r="G8" s="34">
        <f>IF(AND(G3="Yes"),G10,IF(AND(G3="No",G4="Grid is located in LDC/SIDs/URC"),G15,IF(AND(G3="No",G4="Isolated System"),G24,IF(AND(G3="No",G4="Neither"),G15))))</f>
        <v>0.68500000000000005</v>
      </c>
      <c r="H8" s="22"/>
    </row>
    <row r="9" spans="1:8" ht="18.75">
      <c r="A9" s="196" t="s">
        <v>1056</v>
      </c>
      <c r="B9" s="196"/>
      <c r="C9" s="196"/>
      <c r="D9" s="196"/>
      <c r="E9" s="196"/>
      <c r="F9" s="196"/>
      <c r="G9" s="196"/>
      <c r="H9" s="196"/>
    </row>
    <row r="10" spans="1:8">
      <c r="A10" s="22" t="s">
        <v>14</v>
      </c>
      <c r="B10" s="22"/>
      <c r="C10" s="22" t="s">
        <v>16</v>
      </c>
      <c r="D10" s="22" t="s">
        <v>906</v>
      </c>
      <c r="E10" s="22" t="s">
        <v>1054</v>
      </c>
      <c r="F10" s="22" t="s">
        <v>1057</v>
      </c>
      <c r="G10" s="34">
        <f>G11*G12+'Tool 07 Build Margin'!G3*G13</f>
        <v>0</v>
      </c>
      <c r="H10" s="22"/>
    </row>
    <row r="11" spans="1:8">
      <c r="A11" s="22" t="s">
        <v>14</v>
      </c>
      <c r="B11" s="22"/>
      <c r="C11" s="22" t="s">
        <v>16</v>
      </c>
      <c r="D11" s="22" t="s">
        <v>668</v>
      </c>
      <c r="E11" s="22" t="s">
        <v>1058</v>
      </c>
      <c r="F11" s="22" t="s">
        <v>1059</v>
      </c>
      <c r="G11" s="34">
        <f>'Tool 07 Average OM'!G4</f>
        <v>0.5164879</v>
      </c>
      <c r="H11" s="22"/>
    </row>
    <row r="12" spans="1:8">
      <c r="A12" s="22" t="s">
        <v>14</v>
      </c>
      <c r="B12" s="22"/>
      <c r="C12" s="22" t="s">
        <v>16</v>
      </c>
      <c r="D12" s="22" t="s">
        <v>668</v>
      </c>
      <c r="E12" s="22" t="s">
        <v>1060</v>
      </c>
      <c r="F12" s="22" t="s">
        <v>1061</v>
      </c>
      <c r="G12" s="34" t="b">
        <f>IF(AND(G3="Yes",G5="Yes",G6="All Other Projects"),0.5,IF(AND(G3="Yes",G5="No",G6="All Other Projects"),0.25,IF(AND(G3="Yes",G5="Yes",G6="Wind and Solar Power Generation"),0.75,IF(AND(G3="Yes",G5="No",G6="Wind and Solar Power Generation"),0.75))))</f>
        <v>0</v>
      </c>
      <c r="H12" s="34"/>
    </row>
    <row r="13" spans="1:8">
      <c r="A13" s="22" t="s">
        <v>14</v>
      </c>
      <c r="B13" s="22"/>
      <c r="C13" s="22" t="s">
        <v>16</v>
      </c>
      <c r="D13" s="22" t="s">
        <v>668</v>
      </c>
      <c r="E13" s="22" t="s">
        <v>1062</v>
      </c>
      <c r="F13" s="22" t="s">
        <v>1063</v>
      </c>
      <c r="G13" s="34" t="b">
        <f>IF(AND(G3="Yes",G5="Yes",G6="All Other Projects"),0.5,IF(AND(G3="Yes",G5="No",G6="All Other Projects"),0.75,IF(AND(G3="Yes",G5="Yes",G6="Wind and Solar Power Generation"),0.25,IF(AND(G3="Yes",G5="No",G6="Wind and Solar Power Generation"),0.25))))</f>
        <v>0</v>
      </c>
      <c r="H13" s="22"/>
    </row>
    <row r="14" spans="1:8" ht="18.75">
      <c r="A14" s="196" t="s">
        <v>1064</v>
      </c>
      <c r="B14" s="196"/>
      <c r="C14" s="196"/>
      <c r="D14" s="196"/>
      <c r="E14" s="196"/>
      <c r="F14" s="196"/>
      <c r="G14" s="196"/>
      <c r="H14" s="196"/>
    </row>
    <row r="15" spans="1:8">
      <c r="A15" s="22" t="s">
        <v>14</v>
      </c>
      <c r="B15" s="22"/>
      <c r="C15" s="22" t="s">
        <v>16</v>
      </c>
      <c r="D15" s="22" t="s">
        <v>906</v>
      </c>
      <c r="E15" s="22" t="s">
        <v>1054</v>
      </c>
      <c r="F15" s="22" t="s">
        <v>1057</v>
      </c>
      <c r="G15" s="34">
        <f>G22*G16+G18*G17</f>
        <v>0</v>
      </c>
      <c r="H15" s="22"/>
    </row>
    <row r="16" spans="1:8">
      <c r="A16" s="22" t="s">
        <v>14</v>
      </c>
      <c r="B16" s="22"/>
      <c r="C16" s="22" t="s">
        <v>16</v>
      </c>
      <c r="D16" s="22" t="s">
        <v>668</v>
      </c>
      <c r="E16" s="22" t="s">
        <v>1060</v>
      </c>
      <c r="F16" s="22" t="s">
        <v>1061</v>
      </c>
      <c r="G16" s="34" t="b">
        <f>IF(G3="No",IF(AND(G4="Grid is located in LDC/SIDs/URC"),1,IF(AND(G3="No",G4="Neither",G5="Yes",G6="All Other Projects"),0.5,IF(AND(G3="No",G4="Neither",G5="No",G6="All Other Projects"),0.25,IF(AND(G3="No",G4="Neither",G5="Yes",G6="Wind and Solar Power Generation"),0.75,IF(AND(G3="No",G4="Neither",G5="No",G6="Wind and Solar Power Generation"),0.75))))))</f>
        <v>0</v>
      </c>
      <c r="H16" s="34"/>
    </row>
    <row r="17" spans="1:8">
      <c r="A17" s="22" t="s">
        <v>14</v>
      </c>
      <c r="B17" s="22"/>
      <c r="C17" s="22" t="s">
        <v>16</v>
      </c>
      <c r="D17" s="22" t="s">
        <v>668</v>
      </c>
      <c r="E17" s="22" t="s">
        <v>1062</v>
      </c>
      <c r="F17" s="22" t="s">
        <v>1063</v>
      </c>
      <c r="G17" s="34" t="b">
        <f>IF(G3="No",IF(AND(G4="Grid is located in LDC/SIDs/URC"),1,IF(AND(G3="No",G4="Neither",G5="Yes",G6="All Other Projects"),0.5,IF(AND(G3="No",G4="Neither",G5="No",G6="All Other Projects"),0.75,IF(AND(G3="No",G4="Neither",G5="Yes",G6="Wind and Solar Power Generation"),0.25,IF(AND(G3="No",G4="Neither",G5="No",G6="Wind and Solar Power Generation"),0.25))))))</f>
        <v>0</v>
      </c>
      <c r="H17" s="22"/>
    </row>
    <row r="18" spans="1:8">
      <c r="A18" s="22" t="s">
        <v>14</v>
      </c>
      <c r="B18" s="22"/>
      <c r="C18" s="22" t="s">
        <v>16</v>
      </c>
      <c r="D18" s="22" t="s">
        <v>668</v>
      </c>
      <c r="E18" s="22" t="s">
        <v>1028</v>
      </c>
      <c r="F18" s="22" t="s">
        <v>1029</v>
      </c>
      <c r="G18" s="34" t="b">
        <f>IF(AND(G19="Yes",G4="Neither",G20="Less than or equal",G21="Yes"),0.326,IF(AND(G19="Yes",G4="Neither",G20="Less than or equal",G21="No"),0.568,IF(AND(G19="Yes",G4="Neither",G20="More than or equal"),0,IF(AND(G19="No",G4="Grid is located in LDC/SIDs/URC"),'Tool 07 Build Margin'!G3))))</f>
        <v>0</v>
      </c>
      <c r="H18" s="22"/>
    </row>
    <row r="19" spans="1:8">
      <c r="A19" t="s">
        <v>14</v>
      </c>
      <c r="C19" t="s">
        <v>16</v>
      </c>
      <c r="D19" t="s">
        <v>668</v>
      </c>
      <c r="E19" t="s">
        <v>435</v>
      </c>
      <c r="F19" s="1" t="s">
        <v>1065</v>
      </c>
      <c r="G19" s="41" t="s">
        <v>16</v>
      </c>
    </row>
    <row r="20" spans="1:8" ht="45">
      <c r="A20" t="s">
        <v>14</v>
      </c>
      <c r="C20" t="s">
        <v>16</v>
      </c>
      <c r="D20" t="s">
        <v>668</v>
      </c>
      <c r="E20" t="s">
        <v>435</v>
      </c>
      <c r="F20" s="1" t="s">
        <v>1066</v>
      </c>
      <c r="G20" s="41" t="s">
        <v>1067</v>
      </c>
    </row>
    <row r="21" spans="1:8" ht="30">
      <c r="A21" t="s">
        <v>14</v>
      </c>
      <c r="C21" t="s">
        <v>16</v>
      </c>
      <c r="D21" t="s">
        <v>668</v>
      </c>
      <c r="E21" t="s">
        <v>435</v>
      </c>
      <c r="F21" s="1" t="s">
        <v>1068</v>
      </c>
      <c r="G21" s="41" t="s">
        <v>14</v>
      </c>
    </row>
    <row r="22" spans="1:8">
      <c r="A22" s="22" t="s">
        <v>14</v>
      </c>
      <c r="B22" s="22"/>
      <c r="C22" s="22" t="s">
        <v>16</v>
      </c>
      <c r="D22" s="22" t="s">
        <v>668</v>
      </c>
      <c r="E22" s="22" t="s">
        <v>1058</v>
      </c>
      <c r="F22" s="22" t="s">
        <v>1059</v>
      </c>
      <c r="G22" s="34">
        <f>IF(AND('Tool 07 Average OM'!G3="Option A"),'Tool 07 Average OM'!G6,IF('Tool 07 Average OM'!G3="Option B",'Tool 07 Average OM'!G30))</f>
        <v>0.5164879</v>
      </c>
      <c r="H22" s="22"/>
    </row>
    <row r="23" spans="1:8" ht="18.75">
      <c r="A23" s="196" t="s">
        <v>1069</v>
      </c>
      <c r="B23" s="196"/>
      <c r="C23" s="196"/>
      <c r="D23" s="196"/>
      <c r="E23" s="196"/>
      <c r="F23" s="196"/>
      <c r="G23" s="196"/>
      <c r="H23" s="196"/>
    </row>
    <row r="24" spans="1:8">
      <c r="A24" s="22" t="s">
        <v>14</v>
      </c>
      <c r="B24" s="22"/>
      <c r="C24" s="22" t="s">
        <v>16</v>
      </c>
      <c r="D24" s="22" t="s">
        <v>668</v>
      </c>
      <c r="E24" s="22" t="s">
        <v>1054</v>
      </c>
      <c r="F24" s="22" t="s">
        <v>1057</v>
      </c>
      <c r="G24" s="34">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0.68500000000000005</v>
      </c>
      <c r="H24" s="22"/>
    </row>
    <row r="25" spans="1:8">
      <c r="A25" s="22" t="s">
        <v>14</v>
      </c>
      <c r="B25" s="22"/>
      <c r="C25" s="22" t="s">
        <v>16</v>
      </c>
      <c r="D25" s="22" t="s">
        <v>668</v>
      </c>
      <c r="E25" s="22" t="s">
        <v>1060</v>
      </c>
      <c r="F25" s="22" t="s">
        <v>1061</v>
      </c>
      <c r="G25" s="34">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0.5</v>
      </c>
      <c r="H25" s="34"/>
    </row>
    <row r="26" spans="1:8">
      <c r="A26" s="22" t="s">
        <v>14</v>
      </c>
      <c r="B26" s="22"/>
      <c r="C26" s="22" t="s">
        <v>16</v>
      </c>
      <c r="D26" s="22" t="s">
        <v>668</v>
      </c>
      <c r="E26" s="22" t="s">
        <v>1062</v>
      </c>
      <c r="F26" s="22" t="s">
        <v>1063</v>
      </c>
      <c r="G26" s="34">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0.5</v>
      </c>
      <c r="H26" s="22"/>
    </row>
    <row r="27" spans="1:8">
      <c r="A27" s="22" t="s">
        <v>14</v>
      </c>
      <c r="B27" s="22"/>
      <c r="C27" s="22" t="s">
        <v>16</v>
      </c>
      <c r="D27" s="22" t="s">
        <v>668</v>
      </c>
      <c r="E27" s="22" t="s">
        <v>1058</v>
      </c>
      <c r="F27" s="22" t="s">
        <v>1059</v>
      </c>
      <c r="G27" s="34">
        <f>IF(AND(G29="Single"),0.79,IF(AND(G29="Multiple",G30="Isolated grid system with only liquid fuel power plant"),0.79))</f>
        <v>0.79</v>
      </c>
      <c r="H27" s="22"/>
    </row>
    <row r="28" spans="1:8">
      <c r="A28" s="22" t="s">
        <v>14</v>
      </c>
      <c r="B28" s="22"/>
      <c r="C28" s="22" t="s">
        <v>16</v>
      </c>
      <c r="D28" s="22" t="s">
        <v>668</v>
      </c>
      <c r="E28" s="22" t="s">
        <v>1028</v>
      </c>
      <c r="F28" s="22" t="s">
        <v>1029</v>
      </c>
      <c r="G28" s="34">
        <f>IF(AND(G29="Single"),0.58,IF(AND(G29="Multiple",G30="Isolated grid system with only liquid fuel power plant"),0.58))</f>
        <v>0.57999999999999996</v>
      </c>
      <c r="H28" s="22"/>
    </row>
    <row r="29" spans="1:8" ht="30">
      <c r="A29" t="s">
        <v>14</v>
      </c>
      <c r="C29" t="s">
        <v>16</v>
      </c>
      <c r="E29" t="s">
        <v>435</v>
      </c>
      <c r="F29" s="1" t="s">
        <v>1070</v>
      </c>
      <c r="G29" s="41" t="s">
        <v>1071</v>
      </c>
      <c r="H29" s="1" t="s">
        <v>1072</v>
      </c>
    </row>
    <row r="30" spans="1:8" ht="75">
      <c r="A30" t="s">
        <v>14</v>
      </c>
      <c r="C30" t="s">
        <v>16</v>
      </c>
      <c r="E30" t="s">
        <v>435</v>
      </c>
      <c r="F30" t="s">
        <v>1073</v>
      </c>
      <c r="G30" s="120" t="s">
        <v>1074</v>
      </c>
      <c r="H30" s="1" t="s">
        <v>1075</v>
      </c>
    </row>
    <row r="31" spans="1:8">
      <c r="A31" t="s">
        <v>14</v>
      </c>
      <c r="C31" t="s">
        <v>16</v>
      </c>
      <c r="E31" t="s">
        <v>435</v>
      </c>
      <c r="F31" t="s">
        <v>1076</v>
      </c>
      <c r="G31" s="41" t="s">
        <v>14</v>
      </c>
    </row>
  </sheetData>
  <mergeCells count="5">
    <mergeCell ref="A2:H2"/>
    <mergeCell ref="A7:H7"/>
    <mergeCell ref="A9:H9"/>
    <mergeCell ref="A14:H14"/>
    <mergeCell ref="A23:H23"/>
  </mergeCells>
  <dataValidations count="7">
    <dataValidation type="list" allowBlank="1" showInputMessage="1" showErrorMessage="1" sqref="G4" xr:uid="{FF33621F-1A4A-4368-AFA4-35D69042108C}">
      <formula1>"Grid is located in LDC/SIDs/URC, Isolated System,Neither"</formula1>
    </dataValidation>
    <dataValidation type="list" allowBlank="1" showInputMessage="1" showErrorMessage="1" sqref="G30" xr:uid="{67BE6E3C-78D1-4EEB-944A-426EB5D4B0AB}">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DFC7304C-27ED-4C41-82EB-D5CA1ED687E0}">
      <formula1>"Single, Multiple"</formula1>
    </dataValidation>
    <dataValidation type="list" allowBlank="1" showInputMessage="1" showErrorMessage="1" sqref="G20" xr:uid="{0E3F31EC-6330-4372-8B36-6B3F052BDF94}">
      <formula1>"Less than or equal, More than or equal"</formula1>
    </dataValidation>
    <dataValidation type="list" allowBlank="1" showInputMessage="1" showErrorMessage="1" sqref="G6" xr:uid="{73903964-1DD1-46D1-92F4-BAC9AABC1C66}">
      <formula1>"Wind and Solar Power Generation,All Other Projects"</formula1>
    </dataValidation>
    <dataValidation type="list" allowBlank="1" showInputMessage="1" showErrorMessage="1" sqref="D10:D13 D3:D6 D8 D24:D31 D15:D22" xr:uid="{55BEF04D-3F3D-4084-8C35-EDCDCFEFC868}">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A24:C31" xr:uid="{36FFD2F7-1D13-4658-853C-337F6915306B}">
      <formula1>"Yes,No"</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DB8A-9D19-4B4B-85FC-6AB71F1BAD20}">
  <dimension ref="A1:H41"/>
  <sheetViews>
    <sheetView topLeftCell="A7" workbookViewId="0">
      <selection activeCell="C27" sqref="C27"/>
    </sheetView>
  </sheetViews>
  <sheetFormatPr defaultRowHeight="15"/>
  <cols>
    <col min="1" max="1" width="9.85546875" customWidth="1"/>
    <col min="2" max="2" width="87.5703125" style="1" customWidth="1"/>
    <col min="3" max="3" width="21.140625" customWidth="1"/>
    <col min="5" max="5" width="19.5703125" customWidth="1"/>
    <col min="6" max="6" width="29.7109375" customWidth="1"/>
    <col min="7" max="7" width="16.28515625" customWidth="1"/>
    <col min="8" max="8" width="18.5703125" customWidth="1"/>
  </cols>
  <sheetData>
    <row r="1" spans="1:8">
      <c r="A1" t="s">
        <v>1</v>
      </c>
      <c r="B1" t="s">
        <v>362</v>
      </c>
      <c r="C1" t="s">
        <v>363</v>
      </c>
      <c r="D1" t="s">
        <v>4</v>
      </c>
      <c r="E1" t="s">
        <v>7</v>
      </c>
      <c r="F1" t="s">
        <v>1077</v>
      </c>
      <c r="G1" t="s">
        <v>361</v>
      </c>
      <c r="H1" t="s">
        <v>9</v>
      </c>
    </row>
    <row r="2" spans="1:8" ht="30">
      <c r="B2" s="1" t="s">
        <v>1078</v>
      </c>
      <c r="C2" t="s">
        <v>14</v>
      </c>
      <c r="D2" t="s">
        <v>14</v>
      </c>
      <c r="E2" t="s">
        <v>435</v>
      </c>
      <c r="F2" t="s">
        <v>1079</v>
      </c>
      <c r="G2" t="s">
        <v>16</v>
      </c>
    </row>
    <row r="3" spans="1:8">
      <c r="B3" s="1" t="s">
        <v>1080</v>
      </c>
      <c r="C3" t="s">
        <v>1081</v>
      </c>
      <c r="D3" t="s">
        <v>14</v>
      </c>
      <c r="E3" t="s">
        <v>435</v>
      </c>
      <c r="G3" t="s">
        <v>16</v>
      </c>
    </row>
    <row r="4" spans="1:8" ht="30">
      <c r="B4" s="1" t="s">
        <v>1082</v>
      </c>
      <c r="C4" t="s">
        <v>14</v>
      </c>
      <c r="D4" t="str">
        <f>IF(OR(C3="Option A: Use the manufacturer’s load-efficiency function",C3="Option E: Determine the efficiency based on measurements and use a conservative value"),"Yes","No")</f>
        <v>No</v>
      </c>
      <c r="E4" t="s">
        <v>435</v>
      </c>
    </row>
    <row r="5" spans="1:8" ht="30">
      <c r="B5" s="1" t="s">
        <v>1083</v>
      </c>
      <c r="D5" t="str">
        <f>IF(OR(C3="Option B: Establish a load-efficiency function based on measurements and a regression analysis",C3="Option C: Establish the efficiency based on historical data and a regression analysis",C3="Option E: Determine the efficiency based on measurements and use a conservative value"),"Yes","No")</f>
        <v>No</v>
      </c>
      <c r="E5" t="s">
        <v>15</v>
      </c>
      <c r="F5" t="s">
        <v>1084</v>
      </c>
      <c r="G5" t="s">
        <v>16</v>
      </c>
    </row>
    <row r="6" spans="1:8">
      <c r="B6" s="1" t="s">
        <v>1085</v>
      </c>
      <c r="C6" t="s">
        <v>14</v>
      </c>
      <c r="D6" t="s">
        <v>14</v>
      </c>
      <c r="E6" t="s">
        <v>435</v>
      </c>
      <c r="G6" t="s">
        <v>16</v>
      </c>
    </row>
    <row r="7" spans="1:8" ht="30">
      <c r="B7" s="1" t="s">
        <v>1086</v>
      </c>
      <c r="C7" t="s">
        <v>16</v>
      </c>
      <c r="D7" t="str">
        <f>IF(OR(C3="Option A: Use the manufacturer’s load-efficiency function",C3="Option D: Use the manufacturer’s efficiency values"),"Yes","No")</f>
        <v>No</v>
      </c>
      <c r="E7" t="s">
        <v>435</v>
      </c>
      <c r="F7" t="s">
        <v>1087</v>
      </c>
      <c r="G7" t="s">
        <v>16</v>
      </c>
    </row>
    <row r="8" spans="1:8" ht="30">
      <c r="B8" s="1" t="s">
        <v>1088</v>
      </c>
      <c r="C8" t="s">
        <v>14</v>
      </c>
      <c r="D8" t="str">
        <f>IF(C3="Option A: Use the manufacturer’s load-efficiency function","Yes","No")</f>
        <v>No</v>
      </c>
      <c r="E8" t="s">
        <v>435</v>
      </c>
      <c r="G8" t="s">
        <v>16</v>
      </c>
    </row>
    <row r="9" spans="1:8">
      <c r="B9" s="1" t="s">
        <v>1089</v>
      </c>
      <c r="C9" t="s">
        <v>14</v>
      </c>
      <c r="D9" t="str">
        <f>IF(C3="Option A: Use the manufacturer’s load-efficiency function","Yes","No")</f>
        <v>No</v>
      </c>
      <c r="E9" t="s">
        <v>435</v>
      </c>
      <c r="G9" t="s">
        <v>16</v>
      </c>
    </row>
    <row r="10" spans="1:8" ht="30">
      <c r="B10" s="1" t="s">
        <v>1090</v>
      </c>
      <c r="C10" t="s">
        <v>16</v>
      </c>
      <c r="D10" t="str">
        <f>IF(OR(C3="Option A: Use the manufacturer’s load-efficiency function",C3="Option C: Establish the efficiency based on historical data and a regression analysis"),"Yes","No")</f>
        <v>No</v>
      </c>
      <c r="E10" t="s">
        <v>435</v>
      </c>
      <c r="G10" t="s">
        <v>16</v>
      </c>
    </row>
    <row r="11" spans="1:8" ht="45">
      <c r="B11" s="1" t="s">
        <v>1091</v>
      </c>
      <c r="C11" t="s">
        <v>14</v>
      </c>
      <c r="D11" t="str">
        <f>IF(AND(C3="Option C: Establish the efficiency based on historical data and a regression analysis",C6="No"),"Yes","No")</f>
        <v>No</v>
      </c>
      <c r="E11" t="s">
        <v>435</v>
      </c>
      <c r="G11" t="s">
        <v>16</v>
      </c>
    </row>
    <row r="12" spans="1:8" ht="30">
      <c r="B12" s="1" t="s">
        <v>1092</v>
      </c>
      <c r="C12" t="s">
        <v>14</v>
      </c>
      <c r="D12" t="str">
        <f>IF(AND(C3="Option C: Establish the efficiency based on historical data and a regression analysis",C6="Yes"),"Yes","No")</f>
        <v>No</v>
      </c>
      <c r="E12" t="s">
        <v>435</v>
      </c>
      <c r="G12" t="s">
        <v>16</v>
      </c>
    </row>
    <row r="13" spans="1:8" s="21" customFormat="1">
      <c r="B13" s="15" t="s">
        <v>1093</v>
      </c>
      <c r="D13" s="21" t="str">
        <f>IF(AND(C2="Yes",C3="Option A: Use the manufacturer’s load-efficiency function",C4="Yes",C6="No",C7="Yes",C8="Yes",C9="Yes",C10="No"),"Yes","NA")</f>
        <v>NA</v>
      </c>
    </row>
    <row r="14" spans="1:8" ht="30">
      <c r="A14" t="s">
        <v>1094</v>
      </c>
      <c r="B14" s="1" t="s">
        <v>1095</v>
      </c>
      <c r="D14" t="str">
        <f>IF(AND(C2="Yes",C3="Option A: Use the manufacturer’s load-efficiency function",C4="Yes",C6="No",C7="Yes",C8="Yes",C9="Yes",C10="No"),"Yes","NA")</f>
        <v>NA</v>
      </c>
      <c r="E14" t="s">
        <v>1096</v>
      </c>
      <c r="G14" t="s">
        <v>1097</v>
      </c>
    </row>
    <row r="15" spans="1:8" s="21" customFormat="1">
      <c r="B15" s="15" t="s">
        <v>1098</v>
      </c>
      <c r="D15" s="21" t="str">
        <f>IF(AND(C2="Yes",C3="Option B: Establish a load-efficiency function based on measurements and a regression analysis",C6="No"),"Yes","NA")</f>
        <v>NA</v>
      </c>
    </row>
    <row r="16" spans="1:8" ht="30">
      <c r="A16" t="s">
        <v>1094</v>
      </c>
      <c r="B16" s="1" t="s">
        <v>1095</v>
      </c>
      <c r="D16" t="str">
        <f>IF(AND(C2="Yes",C3="Option B: Establish a load-efficiency function based on measurements and a regression analysis",C6="No"),"Yes","NA")</f>
        <v>NA</v>
      </c>
      <c r="E16" t="s">
        <v>1096</v>
      </c>
      <c r="F16" t="s">
        <v>1099</v>
      </c>
      <c r="G16" t="s">
        <v>16</v>
      </c>
    </row>
    <row r="17" spans="1:7" s="14" customFormat="1">
      <c r="B17" s="15" t="s">
        <v>1100</v>
      </c>
      <c r="D17" s="21" t="str">
        <f>IF(AND(C2="Yes",C3="Option C: Establish the efficiency based on historical data and a regression analysis"),"Yes","NA")</f>
        <v>NA</v>
      </c>
    </row>
    <row r="18" spans="1:7">
      <c r="A18" t="s">
        <v>1101</v>
      </c>
      <c r="B18" s="1" t="s">
        <v>1102</v>
      </c>
      <c r="D18" t="str">
        <f>IF(AND(C2="Yes",C3="Option C: Establish the efficiency based on historical data and a regression analysis",C6="Yes",C10="No",C12="Yes"),"Yes","NA")</f>
        <v>NA</v>
      </c>
      <c r="E18" t="s">
        <v>91</v>
      </c>
      <c r="F18" t="s">
        <v>1103</v>
      </c>
      <c r="G18" t="s">
        <v>16</v>
      </c>
    </row>
    <row r="19" spans="1:7" ht="30">
      <c r="A19" t="s">
        <v>1094</v>
      </c>
      <c r="B19" s="1" t="s">
        <v>1095</v>
      </c>
      <c r="D19" t="str">
        <f>IF(AND(C2="Yes",C3="Option C: Establish the efficiency based on historical data and a regression analysis",C6="No",C10="No",C11="Yes"),"Yes","NA")</f>
        <v>NA</v>
      </c>
      <c r="E19" t="s">
        <v>1096</v>
      </c>
      <c r="F19" t="s">
        <v>1104</v>
      </c>
      <c r="G19" t="s">
        <v>16</v>
      </c>
    </row>
    <row r="20" spans="1:7" s="14" customFormat="1">
      <c r="B20" s="15" t="s">
        <v>1105</v>
      </c>
      <c r="D20" s="21" t="str">
        <f>IF(AND(C2="Yes",C3="Option D: Use the manufacturer’s efficiency values",C6="Yes",C7="No",C10="No"),"Yes","NA")</f>
        <v>NA</v>
      </c>
    </row>
    <row r="21" spans="1:7">
      <c r="A21" t="s">
        <v>1101</v>
      </c>
      <c r="B21" s="1" t="s">
        <v>1102</v>
      </c>
      <c r="C21">
        <v>0.85</v>
      </c>
      <c r="D21" t="str">
        <f>IF(AND(C2="Yes",C3="Option D: Use the manufacturer’s efficiency values",C6="Yes",C7="No",C10="No"),"Yes","NA")</f>
        <v>NA</v>
      </c>
      <c r="E21" t="s">
        <v>91</v>
      </c>
      <c r="G21" t="s">
        <v>16</v>
      </c>
    </row>
    <row r="22" spans="1:7" s="14" customFormat="1">
      <c r="B22" s="15" t="s">
        <v>1106</v>
      </c>
      <c r="D22" s="21" t="str">
        <f>IF(AND(C2="Yes",C3="Option E: Determine the efficiency based on measurements and use a conservative value",C4="Yes",C6="Yes"),"Yes","NA")</f>
        <v>NA</v>
      </c>
    </row>
    <row r="23" spans="1:7">
      <c r="A23" t="s">
        <v>1101</v>
      </c>
      <c r="B23" s="1" t="s">
        <v>1102</v>
      </c>
      <c r="C23">
        <v>0.85</v>
      </c>
      <c r="D23" t="str">
        <f>IF(AND(C2="Yes",C3="Option E: Determine the efficiency based on measurements and use a conservative value",C4="Yes",C6="Yes"),"Yes","NA")</f>
        <v>NA</v>
      </c>
      <c r="E23" t="s">
        <v>91</v>
      </c>
      <c r="F23" t="s">
        <v>1107</v>
      </c>
      <c r="G23" t="s">
        <v>16</v>
      </c>
    </row>
    <row r="24" spans="1:7" s="14" customFormat="1">
      <c r="B24" s="15" t="s">
        <v>1081</v>
      </c>
      <c r="D24" s="21" t="str">
        <f>IF(AND(C2="Yes",C3="Option F: Use a default value",C6="Yes"),"Yes","NA")</f>
        <v>Yes</v>
      </c>
    </row>
    <row r="25" spans="1:7" ht="15.75" thickBot="1">
      <c r="A25" t="s">
        <v>1101</v>
      </c>
      <c r="B25" s="1" t="s">
        <v>1102</v>
      </c>
      <c r="C25">
        <v>0.85</v>
      </c>
      <c r="D25" t="str">
        <f>IF(AND(C2="Yes",C3="Option F: Use a default value",C6="Yes"),"Yes","NA")</f>
        <v>Yes</v>
      </c>
      <c r="E25" t="s">
        <v>91</v>
      </c>
      <c r="F25" t="s">
        <v>1108</v>
      </c>
      <c r="G25" t="s">
        <v>16</v>
      </c>
    </row>
    <row r="26" spans="1:7" s="17" customFormat="1" ht="20.25" thickBot="1">
      <c r="A26" s="20"/>
      <c r="B26" s="19" t="s">
        <v>1109</v>
      </c>
      <c r="C26" s="18">
        <f>IF(AND(C3="Option A: Use the manufacturer’s load-efficiency function",D14="Yes"),C14, IF(AND(C3="Option B: Establish a load-efficiency function based on measurements and a regression analysis",D16="Yes"),C16,IF(AND(C3="Option C: Establish the efficiency based on historical data and a regression analysis",D18="Yes"),C18,IF(AND(C3="Option C: Establish the efficiency based on historical data and a regression analysis",D19="Yes"),C19,IF(AND(C3="Option D: Use the manufacturer’s efficiency values",D21="Yes"),C21,IF(AND(C3="Option E: Determine the efficiency based on measurements and use a conservative value",D23="Yes"),C23,IF(AND(C3="Option F: Use a default value",D25="Yes"),C25,"NA")))))))</f>
        <v>0.85</v>
      </c>
      <c r="E26" s="17" t="s">
        <v>102</v>
      </c>
      <c r="G26" s="17" t="s">
        <v>16</v>
      </c>
    </row>
    <row r="27" spans="1:7">
      <c r="B27" s="16"/>
    </row>
    <row r="31" spans="1:7" ht="18.75">
      <c r="A31" s="198" t="s">
        <v>1110</v>
      </c>
      <c r="B31" s="198"/>
      <c r="C31" s="198"/>
      <c r="D31" s="198"/>
      <c r="E31" s="198"/>
    </row>
    <row r="32" spans="1:7" s="2" customFormat="1">
      <c r="A32" s="2" t="s">
        <v>1111</v>
      </c>
      <c r="D32" s="2" t="s">
        <v>1112</v>
      </c>
    </row>
    <row r="33" spans="1:5">
      <c r="A33" t="s">
        <v>1093</v>
      </c>
      <c r="B33"/>
      <c r="D33" t="s">
        <v>14</v>
      </c>
    </row>
    <row r="34" spans="1:5">
      <c r="A34" t="s">
        <v>1098</v>
      </c>
      <c r="B34"/>
      <c r="D34" t="s">
        <v>16</v>
      </c>
    </row>
    <row r="35" spans="1:5">
      <c r="A35" t="s">
        <v>1113</v>
      </c>
      <c r="B35"/>
    </row>
    <row r="36" spans="1:5">
      <c r="A36" t="s">
        <v>1105</v>
      </c>
      <c r="B36"/>
    </row>
    <row r="37" spans="1:5">
      <c r="A37" t="s">
        <v>1106</v>
      </c>
      <c r="B37"/>
    </row>
    <row r="38" spans="1:5">
      <c r="A38" t="s">
        <v>1081</v>
      </c>
      <c r="B38"/>
    </row>
    <row r="41" spans="1:5" ht="18.75">
      <c r="A41" s="198" t="s">
        <v>1114</v>
      </c>
      <c r="B41" s="198"/>
      <c r="C41" s="198"/>
      <c r="D41" s="198"/>
      <c r="E41" s="198"/>
    </row>
  </sheetData>
  <mergeCells count="2">
    <mergeCell ref="A31:E31"/>
    <mergeCell ref="A41:E41"/>
  </mergeCells>
  <dataValidations count="2">
    <dataValidation type="list" allowBlank="1" showInputMessage="1" showErrorMessage="1" sqref="C6:C12 C4 C2" xr:uid="{39F9F44C-1F39-4F07-A141-6C2D5A884F63}">
      <formula1>$D$33:$D$34</formula1>
    </dataValidation>
    <dataValidation type="list" allowBlank="1" showInputMessage="1" showErrorMessage="1" sqref="C3" xr:uid="{1D89DBF6-90EC-49F1-ACA4-5DC1046C53D0}">
      <formula1>$A$33:$A$38</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C18EA-193B-4E2A-92AF-48527B771C5D}">
  <dimension ref="A1:H24"/>
  <sheetViews>
    <sheetView topLeftCell="A4" workbookViewId="0">
      <selection activeCell="C25" sqref="C25"/>
    </sheetView>
  </sheetViews>
  <sheetFormatPr defaultColWidth="8.7109375" defaultRowHeight="15"/>
  <cols>
    <col min="1" max="1" width="14.85546875" customWidth="1"/>
    <col min="2" max="2" width="65.7109375" style="1" customWidth="1"/>
    <col min="3" max="3" width="38.28515625" style="41" customWidth="1"/>
    <col min="4" max="4" width="31.140625" customWidth="1"/>
    <col min="5" max="5" width="20.140625" customWidth="1"/>
    <col min="7" max="7" width="17.7109375" customWidth="1"/>
    <col min="8" max="8" width="21" customWidth="1"/>
  </cols>
  <sheetData>
    <row r="1" spans="1:8">
      <c r="A1" t="s">
        <v>1</v>
      </c>
      <c r="B1" s="1" t="s">
        <v>2</v>
      </c>
      <c r="C1" s="41" t="s">
        <v>3</v>
      </c>
      <c r="D1" t="s">
        <v>4</v>
      </c>
      <c r="E1" t="s">
        <v>7</v>
      </c>
      <c r="F1" t="s">
        <v>364</v>
      </c>
      <c r="G1" t="s">
        <v>1115</v>
      </c>
      <c r="H1" t="s">
        <v>1116</v>
      </c>
    </row>
    <row r="2" spans="1:8" s="86" customFormat="1">
      <c r="B2" s="104" t="s">
        <v>432</v>
      </c>
      <c r="C2" s="105"/>
    </row>
    <row r="3" spans="1:8">
      <c r="B3" s="1" t="s">
        <v>1117</v>
      </c>
      <c r="C3" s="41" t="s">
        <v>1097</v>
      </c>
      <c r="D3" t="s">
        <v>14</v>
      </c>
      <c r="E3" t="s">
        <v>28</v>
      </c>
      <c r="G3" t="s">
        <v>16</v>
      </c>
    </row>
    <row r="4" spans="1:8" ht="30">
      <c r="B4" s="1" t="s">
        <v>1118</v>
      </c>
      <c r="C4" s="41" t="s">
        <v>1119</v>
      </c>
      <c r="D4" t="s">
        <v>14</v>
      </c>
      <c r="E4" t="s">
        <v>28</v>
      </c>
      <c r="G4" t="s">
        <v>16</v>
      </c>
    </row>
    <row r="5" spans="1:8" ht="30">
      <c r="A5" t="s">
        <v>1120</v>
      </c>
      <c r="B5" s="1" t="s">
        <v>1121</v>
      </c>
      <c r="C5" s="41" t="s">
        <v>1122</v>
      </c>
      <c r="D5" t="s">
        <v>14</v>
      </c>
      <c r="E5" t="s">
        <v>15</v>
      </c>
      <c r="G5" t="s">
        <v>16</v>
      </c>
    </row>
    <row r="6" spans="1:8">
      <c r="B6" s="199" t="s">
        <v>1123</v>
      </c>
      <c r="C6" s="199"/>
      <c r="D6" s="199"/>
      <c r="E6" s="106"/>
      <c r="F6" t="s">
        <v>1124</v>
      </c>
    </row>
    <row r="7" spans="1:8" ht="30">
      <c r="B7" s="1" t="s">
        <v>1125</v>
      </c>
      <c r="C7" s="41" t="s">
        <v>1126</v>
      </c>
      <c r="D7" t="s">
        <v>14</v>
      </c>
      <c r="E7" t="s">
        <v>15</v>
      </c>
      <c r="G7" t="s">
        <v>16</v>
      </c>
    </row>
    <row r="8" spans="1:8" ht="30">
      <c r="B8" s="1" t="s">
        <v>1127</v>
      </c>
      <c r="C8" s="41" t="s">
        <v>1128</v>
      </c>
      <c r="D8" t="s">
        <v>14</v>
      </c>
      <c r="E8" t="s">
        <v>15</v>
      </c>
      <c r="G8" t="s">
        <v>16</v>
      </c>
    </row>
    <row r="9" spans="1:8" ht="30">
      <c r="B9" s="1" t="s">
        <v>1129</v>
      </c>
      <c r="C9" s="41" t="s">
        <v>1130</v>
      </c>
      <c r="D9" t="s">
        <v>14</v>
      </c>
      <c r="E9" t="s">
        <v>15</v>
      </c>
      <c r="G9" t="s">
        <v>16</v>
      </c>
    </row>
    <row r="10" spans="1:8" ht="30">
      <c r="B10" s="1" t="s">
        <v>1131</v>
      </c>
      <c r="C10" s="41">
        <v>1</v>
      </c>
      <c r="D10" t="s">
        <v>14</v>
      </c>
      <c r="E10" t="s">
        <v>91</v>
      </c>
      <c r="G10" t="s">
        <v>16</v>
      </c>
    </row>
    <row r="11" spans="1:8" ht="30">
      <c r="A11" t="s">
        <v>1132</v>
      </c>
      <c r="B11" s="1" t="s">
        <v>1133</v>
      </c>
      <c r="C11" s="41">
        <v>2</v>
      </c>
      <c r="D11" t="s">
        <v>14</v>
      </c>
      <c r="E11" t="s">
        <v>91</v>
      </c>
      <c r="F11" t="s">
        <v>1134</v>
      </c>
      <c r="G11" t="s">
        <v>16</v>
      </c>
    </row>
    <row r="12" spans="1:8" ht="45">
      <c r="B12" s="1" t="s">
        <v>1135</v>
      </c>
      <c r="C12" s="41" t="s">
        <v>1136</v>
      </c>
      <c r="D12" t="s">
        <v>14</v>
      </c>
      <c r="E12" t="s">
        <v>28</v>
      </c>
      <c r="G12" t="s">
        <v>16</v>
      </c>
    </row>
    <row r="13" spans="1:8" ht="28.9" customHeight="1">
      <c r="B13" s="1" t="s">
        <v>1137</v>
      </c>
      <c r="C13" s="41" t="s">
        <v>1138</v>
      </c>
      <c r="D13" t="s">
        <v>14</v>
      </c>
      <c r="E13" t="s">
        <v>28</v>
      </c>
      <c r="G13" t="s">
        <v>16</v>
      </c>
    </row>
    <row r="14" spans="1:8">
      <c r="B14" s="1" t="s">
        <v>1139</v>
      </c>
      <c r="C14" s="41" t="s">
        <v>1140</v>
      </c>
      <c r="D14" t="str">
        <f>IF(C13="Road Vehicle","Yes","No")</f>
        <v>Yes</v>
      </c>
      <c r="E14" t="s">
        <v>28</v>
      </c>
      <c r="G14" t="s">
        <v>16</v>
      </c>
    </row>
    <row r="15" spans="1:8" s="86" customFormat="1">
      <c r="B15" s="104" t="s">
        <v>1141</v>
      </c>
      <c r="C15" s="105"/>
      <c r="D15" s="86" t="str">
        <f>IF(C3="Yes","NA",IF(C13="Rail","NA",IF(C12="Option A: Monitoring fuel consumption","Yes","NA")))</f>
        <v>NA</v>
      </c>
    </row>
    <row r="16" spans="1:8" ht="30">
      <c r="B16" s="1" t="s">
        <v>1142</v>
      </c>
      <c r="D16" t="str">
        <f>IF(C3="Yes","NA",IF(C13="Rail","NA",IF(C12="Option A: Monitoring fuel consumption","Yes","NA")))</f>
        <v>NA</v>
      </c>
      <c r="E16" t="s">
        <v>15</v>
      </c>
      <c r="F16" t="s">
        <v>1143</v>
      </c>
    </row>
    <row r="17" spans="1:7" ht="45">
      <c r="A17" t="s">
        <v>1144</v>
      </c>
      <c r="B17" s="1" t="s">
        <v>1145</v>
      </c>
      <c r="C17" s="34">
        <f>'(Revised) Tool 03'!G3</f>
        <v>73.333333333333329</v>
      </c>
      <c r="D17" t="str">
        <f>IF(C3="Yes","NA",IF(C13="Rail","NA",IF(C12="Option A: Monitoring fuel consumption","Yes","NA")))</f>
        <v>NA</v>
      </c>
      <c r="E17" t="s">
        <v>243</v>
      </c>
      <c r="F17" t="s">
        <v>1146</v>
      </c>
      <c r="G17" t="s">
        <v>16</v>
      </c>
    </row>
    <row r="18" spans="1:7" s="86" customFormat="1">
      <c r="B18" s="104" t="s">
        <v>1136</v>
      </c>
      <c r="C18" s="105"/>
      <c r="D18" s="86" t="str">
        <f>IF(C3="Yes","NA",IF(OR(C12="Option B: Using conservative default values",C13="Rail"),"Yes","NA"))</f>
        <v>Yes</v>
      </c>
    </row>
    <row r="19" spans="1:7">
      <c r="A19" t="s">
        <v>1147</v>
      </c>
      <c r="B19" s="1" t="s">
        <v>1148</v>
      </c>
      <c r="C19" s="41">
        <v>11966</v>
      </c>
      <c r="D19" t="str">
        <f>IF(C3="Yes","NA",IF(OR(C12="Option B: Using conservative default values",C13="Rail"),"Yes","NA"))</f>
        <v>Yes</v>
      </c>
      <c r="E19" t="s">
        <v>91</v>
      </c>
      <c r="F19" t="s">
        <v>1149</v>
      </c>
      <c r="G19" t="s">
        <v>16</v>
      </c>
    </row>
    <row r="20" spans="1:7" ht="30">
      <c r="A20" t="s">
        <v>1150</v>
      </c>
      <c r="B20" s="1" t="s">
        <v>1151</v>
      </c>
      <c r="C20" s="34" t="str">
        <f>IF(OR(C14="Heavy",C13="Rail"),"129","245")</f>
        <v>129</v>
      </c>
      <c r="D20" t="str">
        <f>IF(C3="Yes","NA",IF(OR(C12="Option B: Using conservative default values",C13="Rail"),"Yes","NA"))</f>
        <v>Yes</v>
      </c>
      <c r="E20" t="s">
        <v>1152</v>
      </c>
      <c r="G20" t="s">
        <v>16</v>
      </c>
    </row>
    <row r="21" spans="1:7" ht="45">
      <c r="A21" t="s">
        <v>1144</v>
      </c>
      <c r="B21" s="1" t="s">
        <v>1153</v>
      </c>
      <c r="C21" s="34">
        <f>C19*C11*C20*(10^-6)</f>
        <v>3.0872279999999996</v>
      </c>
      <c r="D21" t="str">
        <f>IF(C3="Yes","NA",IF(OR(C12="Option B: Using conservative default values",C13="Rail"),"Yes","NA"))</f>
        <v>Yes</v>
      </c>
      <c r="E21" t="s">
        <v>1152</v>
      </c>
      <c r="G21" t="s">
        <v>16</v>
      </c>
    </row>
    <row r="24" spans="1:7">
      <c r="C24" s="107"/>
    </row>
  </sheetData>
  <mergeCells count="1">
    <mergeCell ref="B6:D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C33C654D-9591-4F31-B743-903678F69603}">
          <x14:formula1>
            <xm:f>'Tool 12 Dropdown Items'!$E$2:$E$3</xm:f>
          </x14:formula1>
          <xm:sqref>C4</xm:sqref>
        </x14:dataValidation>
        <x14:dataValidation type="list" allowBlank="1" showInputMessage="1" showErrorMessage="1" xr:uid="{041D0990-0CCB-4B28-B0F6-95B3394A1DD0}">
          <x14:formula1>
            <xm:f>'Tool 12 Dropdown Items'!$D$2:$D$3</xm:f>
          </x14:formula1>
          <xm:sqref>C14</xm:sqref>
        </x14:dataValidation>
        <x14:dataValidation type="list" allowBlank="1" showInputMessage="1" showErrorMessage="1" xr:uid="{998E1247-697B-44C3-9644-3CDCCEA6143E}">
          <x14:formula1>
            <xm:f>'Tool 12 Dropdown Items'!$C$2:$C$3</xm:f>
          </x14:formula1>
          <xm:sqref>C13</xm:sqref>
        </x14:dataValidation>
        <x14:dataValidation type="list" allowBlank="1" showInputMessage="1" showErrorMessage="1" xr:uid="{2D659EDE-9A93-4DEC-B848-D9E846D868EC}">
          <x14:formula1>
            <xm:f>'Tool 12 Dropdown Items'!$A$2:$A$3</xm:f>
          </x14:formula1>
          <xm:sqref>C12</xm:sqref>
        </x14:dataValidation>
        <x14:dataValidation type="list" allowBlank="1" showInputMessage="1" showErrorMessage="1" xr:uid="{9A6B780D-588A-4B75-BCC5-269FA5492F29}">
          <x14:formula1>
            <xm:f>'Tool 12 Dropdown Items'!$B$2:$B$3</xm:f>
          </x14:formula1>
          <xm:sqref>C3</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E8C29-156F-44F9-902C-1C1DEAE4A487}">
  <dimension ref="A1:I17"/>
  <sheetViews>
    <sheetView workbookViewId="0">
      <selection activeCell="K29" sqref="K29"/>
    </sheetView>
  </sheetViews>
  <sheetFormatPr defaultColWidth="8.7109375" defaultRowHeight="15"/>
  <cols>
    <col min="1" max="1" width="10.28515625" style="41" customWidth="1"/>
    <col min="2" max="2" width="16.7109375" customWidth="1"/>
    <col min="3" max="3" width="10.28515625" customWidth="1"/>
    <col min="4" max="4" width="8.28515625" customWidth="1"/>
    <col min="5" max="5" width="11.42578125" customWidth="1"/>
    <col min="6" max="6" width="17.7109375" customWidth="1"/>
    <col min="7" max="7" width="20.28515625" customWidth="1"/>
    <col min="8" max="8" width="12.7109375" customWidth="1"/>
  </cols>
  <sheetData>
    <row r="1" spans="1:9" s="8" customFormat="1" ht="19.5" thickBot="1">
      <c r="A1" s="193" t="s">
        <v>1154</v>
      </c>
      <c r="B1" s="194"/>
      <c r="C1" s="194"/>
      <c r="D1" s="194"/>
      <c r="E1" s="194"/>
      <c r="F1" s="194"/>
      <c r="G1" s="194"/>
      <c r="H1" s="194"/>
      <c r="I1" s="195"/>
    </row>
    <row r="2" spans="1:9" s="2" customFormat="1">
      <c r="A2" s="108" t="s">
        <v>1155</v>
      </c>
      <c r="B2" s="2" t="s">
        <v>1156</v>
      </c>
      <c r="C2" s="2" t="s">
        <v>1157</v>
      </c>
      <c r="D2" s="2" t="s">
        <v>1158</v>
      </c>
      <c r="E2" s="2" t="s">
        <v>1159</v>
      </c>
      <c r="F2" s="2" t="s">
        <v>1160</v>
      </c>
      <c r="G2" s="2" t="s">
        <v>1161</v>
      </c>
      <c r="H2" s="2" t="s">
        <v>1162</v>
      </c>
      <c r="I2" s="109" t="s">
        <v>1163</v>
      </c>
    </row>
    <row r="3" spans="1:9">
      <c r="A3" s="110" t="str">
        <f>IF('Tool 12 - Freight Trans'!C4="Project emissions (PEtr,m)",'Tool 12 - Freight Trans'!C5)</f>
        <v>Activity 1</v>
      </c>
      <c r="B3" s="22" t="str">
        <f>IF('Tool 12 - Freight Trans'!C4="Project emissions (PEtr,m)",'Tool 12 - Freight Trans'!C9)</f>
        <v>Sugar cane bagasse</v>
      </c>
      <c r="C3" s="22">
        <f>IF('Tool 12 - Freight Trans'!C4="Project emissions (PEtr,m)",'Tool 12 - Freight Trans'!C11)</f>
        <v>2</v>
      </c>
      <c r="D3" s="22" t="str">
        <f>IF('Tool 12 - Freight Trans'!C4="Project emissions (PEtr,m)",'Tool 12 - Freight Trans'!C7)</f>
        <v>Source 1</v>
      </c>
      <c r="E3" s="22" t="str">
        <f>IF('Tool 12 - Freight Trans'!C4="Project emissions (PEtr,m)",'Tool 12 - Freight Trans'!C8)</f>
        <v>Facility 1</v>
      </c>
      <c r="F3" s="22">
        <f>IF(AND('Tool 12 - Freight Trans'!C4="Project emissions (PEtr,m)",'Tool 12 - Freight Trans'!C12="Option B: Using conservative default values"),'Tool 12 - Freight Trans'!C19)</f>
        <v>11966</v>
      </c>
      <c r="G3" s="22" t="str">
        <f>IF('Tool 12 - Freight Trans'!C4="Project emissions (PEtr,m)",'Tool 12 - Freight Trans'!C13)</f>
        <v>Road Vehicle</v>
      </c>
      <c r="H3" s="22" t="str">
        <f>IF('Tool 12 - Freight Trans'!C4="Project emissions (PEtr,m)",'Tool 12 - Freight Trans'!C14)</f>
        <v>Heavy</v>
      </c>
      <c r="I3" s="111">
        <f>IF(AND('Tool 12 - Freight Trans'!C4="Project emissions (PEtr,m)",'Tool 12 - Freight Trans'!C12="Option B: Using conservative default values"),'Tool 12 - Freight Trans'!C21,IF(AND('Tool 12 - Freight Trans'!C4="Project emissions (PEtr,m)",'Tool 12 - Freight Trans'!C12="Option A: Monitoring fuel consumption"),'Tool 12 - Freight Trans'!C17))</f>
        <v>3.0872279999999996</v>
      </c>
    </row>
    <row r="4" spans="1:9">
      <c r="A4" s="112">
        <v>2</v>
      </c>
      <c r="I4" s="113"/>
    </row>
    <row r="5" spans="1:9">
      <c r="A5" s="112">
        <v>3</v>
      </c>
      <c r="I5" s="113"/>
    </row>
    <row r="6" spans="1:9" ht="15.75" thickBot="1">
      <c r="A6" s="112">
        <v>4</v>
      </c>
      <c r="I6" s="113"/>
    </row>
    <row r="7" spans="1:9" s="2" customFormat="1" ht="15.75" thickBot="1">
      <c r="A7" s="114" t="s">
        <v>551</v>
      </c>
      <c r="B7" s="115"/>
      <c r="C7" s="115"/>
      <c r="D7" s="115"/>
      <c r="E7" s="115"/>
      <c r="F7" s="115"/>
      <c r="G7" s="115"/>
      <c r="H7" s="115"/>
      <c r="I7" s="116">
        <f>SUM(I3:I6)</f>
        <v>3.0872279999999996</v>
      </c>
    </row>
    <row r="10" spans="1:9" ht="15.75" thickBot="1"/>
    <row r="11" spans="1:9" ht="19.5" thickBot="1">
      <c r="A11" s="193" t="s">
        <v>1164</v>
      </c>
      <c r="B11" s="194"/>
      <c r="C11" s="194"/>
      <c r="D11" s="194"/>
      <c r="E11" s="194"/>
      <c r="F11" s="194"/>
      <c r="G11" s="194"/>
      <c r="H11" s="194"/>
      <c r="I11" s="195"/>
    </row>
    <row r="12" spans="1:9">
      <c r="A12" s="108" t="s">
        <v>1155</v>
      </c>
      <c r="B12" s="2" t="s">
        <v>1156</v>
      </c>
      <c r="C12" s="2" t="s">
        <v>1157</v>
      </c>
      <c r="D12" s="2" t="s">
        <v>1158</v>
      </c>
      <c r="E12" s="2" t="s">
        <v>1159</v>
      </c>
      <c r="F12" s="2" t="s">
        <v>1160</v>
      </c>
      <c r="G12" s="2" t="s">
        <v>1161</v>
      </c>
      <c r="H12" s="2" t="s">
        <v>1162</v>
      </c>
      <c r="I12" s="109" t="s">
        <v>1163</v>
      </c>
    </row>
    <row r="13" spans="1:9">
      <c r="A13" s="112">
        <v>1</v>
      </c>
      <c r="B13" s="22" t="b">
        <f>IF('Tool 12 - Freight Trans'!C4="Leakage emissions (LEtr,m)",'Tool 12 - Freight Trans'!C9)</f>
        <v>0</v>
      </c>
      <c r="C13" s="22" t="b">
        <f>IF('Tool 12 - Freight Trans'!C4="Leakage emissions (LEtr,m)",'Tool 12 - Freight Trans'!C11)</f>
        <v>0</v>
      </c>
      <c r="D13" s="22" t="b">
        <f>IF('Tool 12 - Freight Trans'!C4="Leakage emissions (LEtr,m)",'Tool 12 - Freight Trans'!C7)</f>
        <v>0</v>
      </c>
      <c r="E13" s="22" t="b">
        <f>IF('Tool 12 - Freight Trans'!C4="Leakage emissions (LEtr,m)",'Tool 12 - Freight Trans'!C8)</f>
        <v>0</v>
      </c>
      <c r="F13" s="22" t="b">
        <f>IF(AND('Tool 12 - Freight Trans'!C4="Leakage emissions (LEtr,m)",'Tool 12 - Freight Trans'!C12="Option B: Using conservative default values"),'Tool 12 - Freight Trans'!C19)</f>
        <v>0</v>
      </c>
      <c r="G13" s="22" t="b">
        <f>IF('Tool 12 - Freight Trans'!C4="Leakage emissions (LEtr,m)",'Tool 12 - Freight Trans'!C13)</f>
        <v>0</v>
      </c>
      <c r="H13" s="22" t="b">
        <f>IF('Tool 12 - Freight Trans'!C4="Leakage emissions (LEtr,m)",'Tool 12 - Freight Trans'!C14)</f>
        <v>0</v>
      </c>
      <c r="I13" s="111" t="b">
        <f>IF(AND('Tool 12 - Freight Trans'!C4="Leakage emissions (LEtr,m)",'Tool 12 - Freight Trans'!C12="Option B: Using conservative default values"),'Tool 12 - Freight Trans'!C21,IF(AND('Tool 12 - Freight Trans'!C4="Leakage emissions (LEtr,m)",'Tool 12 - Freight Trans'!C12="Option A: Monitoring fuel consumption"),'Tool 12 - Freight Trans'!C17))</f>
        <v>0</v>
      </c>
    </row>
    <row r="14" spans="1:9">
      <c r="A14" s="112">
        <v>2</v>
      </c>
      <c r="I14" s="113"/>
    </row>
    <row r="15" spans="1:9">
      <c r="A15" s="112">
        <v>3</v>
      </c>
      <c r="I15" s="113"/>
    </row>
    <row r="16" spans="1:9">
      <c r="A16" s="112">
        <v>4</v>
      </c>
      <c r="I16" s="113"/>
    </row>
    <row r="17" spans="1:9" ht="15.75" thickBot="1">
      <c r="A17" s="117" t="s">
        <v>551</v>
      </c>
      <c r="B17" s="118"/>
      <c r="C17" s="118"/>
      <c r="D17" s="118"/>
      <c r="E17" s="118"/>
      <c r="F17" s="118"/>
      <c r="G17" s="118"/>
      <c r="H17" s="118"/>
      <c r="I17" s="119">
        <f>SUM(I13:I16)</f>
        <v>0</v>
      </c>
    </row>
  </sheetData>
  <mergeCells count="2">
    <mergeCell ref="A1:I1"/>
    <mergeCell ref="A11:I11"/>
  </mergeCell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EB742-54DE-4F04-8427-F8570FBAE873}">
  <dimension ref="A1:E3"/>
  <sheetViews>
    <sheetView workbookViewId="0">
      <selection activeCell="E33" sqref="E33"/>
    </sheetView>
  </sheetViews>
  <sheetFormatPr defaultColWidth="8.7109375" defaultRowHeight="15"/>
  <cols>
    <col min="1" max="1" width="38.28515625" customWidth="1"/>
    <col min="2" max="2" width="13.7109375" customWidth="1"/>
    <col min="3" max="3" width="23.140625" customWidth="1"/>
    <col min="4" max="4" width="18.140625" customWidth="1"/>
  </cols>
  <sheetData>
    <row r="1" spans="1:5" s="2" customFormat="1">
      <c r="A1" s="2" t="s">
        <v>1165</v>
      </c>
      <c r="B1" s="2" t="s">
        <v>1112</v>
      </c>
      <c r="C1" s="2" t="s">
        <v>1166</v>
      </c>
      <c r="D1" s="2" t="s">
        <v>1162</v>
      </c>
      <c r="E1" s="2" t="s">
        <v>1167</v>
      </c>
    </row>
    <row r="2" spans="1:5">
      <c r="A2" t="s">
        <v>1141</v>
      </c>
      <c r="B2" t="s">
        <v>14</v>
      </c>
      <c r="C2" t="s">
        <v>1168</v>
      </c>
      <c r="D2" t="s">
        <v>1169</v>
      </c>
      <c r="E2" t="s">
        <v>1119</v>
      </c>
    </row>
    <row r="3" spans="1:5">
      <c r="A3" t="s">
        <v>1136</v>
      </c>
      <c r="B3" t="s">
        <v>1097</v>
      </c>
      <c r="C3" t="s">
        <v>1138</v>
      </c>
      <c r="D3" t="s">
        <v>1140</v>
      </c>
      <c r="E3" t="s">
        <v>1170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D16D7-8B31-4663-B5CE-8EDF21C09FA3}">
  <dimension ref="A1:I65"/>
  <sheetViews>
    <sheetView topLeftCell="C1" workbookViewId="0">
      <selection activeCell="H30" sqref="H30"/>
    </sheetView>
  </sheetViews>
  <sheetFormatPr defaultRowHeight="15"/>
  <cols>
    <col min="1" max="1" width="13.140625" customWidth="1"/>
    <col min="2" max="2" width="13.7109375" customWidth="1"/>
    <col min="3" max="3" width="12.140625" customWidth="1"/>
    <col min="4" max="4" width="15.28515625" customWidth="1"/>
    <col min="5" max="5" width="17.85546875" bestFit="1" customWidth="1"/>
    <col min="6" max="6" width="69.85546875" customWidth="1"/>
    <col min="7" max="7" width="45.7109375" customWidth="1"/>
    <col min="8" max="8" width="46" customWidth="1"/>
  </cols>
  <sheetData>
    <row r="1" spans="1:9" ht="37.5">
      <c r="A1" s="29" t="s">
        <v>360</v>
      </c>
      <c r="B1" s="29" t="s">
        <v>9</v>
      </c>
      <c r="C1" s="30" t="s">
        <v>361</v>
      </c>
      <c r="D1" s="30" t="s">
        <v>7</v>
      </c>
      <c r="E1" s="29" t="s">
        <v>1</v>
      </c>
      <c r="F1" s="31" t="s">
        <v>362</v>
      </c>
      <c r="G1" s="31" t="s">
        <v>363</v>
      </c>
      <c r="H1" s="30" t="s">
        <v>364</v>
      </c>
      <c r="I1" s="99"/>
    </row>
    <row r="2" spans="1:9" ht="21">
      <c r="A2" s="187" t="s">
        <v>1171</v>
      </c>
      <c r="B2" s="187"/>
      <c r="C2" s="187"/>
      <c r="D2" s="187"/>
      <c r="E2" s="187"/>
      <c r="F2" s="187"/>
      <c r="G2" s="187"/>
      <c r="H2" s="187"/>
      <c r="I2" s="99"/>
    </row>
    <row r="3" spans="1:9" ht="18.75">
      <c r="A3" s="125" t="s">
        <v>16</v>
      </c>
      <c r="B3" s="126"/>
      <c r="C3" s="127" t="s">
        <v>16</v>
      </c>
      <c r="D3" s="127" t="s">
        <v>906</v>
      </c>
      <c r="E3" s="125" t="s">
        <v>1172</v>
      </c>
      <c r="F3" s="22" t="s">
        <v>1173</v>
      </c>
      <c r="G3" s="128">
        <f>G16+(IF(AND(G18="Option 1"),G20,IF(AND(G18="Option 2"),G22)))+G27+G43+G49</f>
        <v>74.068333333333328</v>
      </c>
      <c r="H3" s="129"/>
      <c r="I3" s="99"/>
    </row>
    <row r="4" spans="1:9" ht="21">
      <c r="A4" s="187" t="s">
        <v>1174</v>
      </c>
      <c r="B4" s="187"/>
      <c r="C4" s="187"/>
      <c r="D4" s="187"/>
      <c r="E4" s="187"/>
      <c r="F4" s="187"/>
      <c r="G4" s="187"/>
      <c r="H4" s="187"/>
      <c r="I4" s="59"/>
    </row>
    <row r="5" spans="1:9" ht="60">
      <c r="A5" t="s">
        <v>14</v>
      </c>
      <c r="C5" t="s">
        <v>14</v>
      </c>
      <c r="D5" t="s">
        <v>668</v>
      </c>
      <c r="E5" t="s">
        <v>362</v>
      </c>
      <c r="F5" s="1" t="s">
        <v>1175</v>
      </c>
      <c r="G5" t="s">
        <v>1013</v>
      </c>
    </row>
    <row r="6" spans="1:9" ht="21">
      <c r="A6" s="187" t="s">
        <v>1176</v>
      </c>
      <c r="B6" s="187"/>
      <c r="C6" s="187"/>
      <c r="D6" s="187"/>
      <c r="E6" s="187"/>
      <c r="F6" s="187"/>
      <c r="G6" s="187"/>
      <c r="H6" s="187"/>
      <c r="I6" s="59"/>
    </row>
    <row r="7" spans="1:9">
      <c r="A7" t="s">
        <v>14</v>
      </c>
      <c r="C7" t="s">
        <v>14</v>
      </c>
      <c r="D7" t="s">
        <v>91</v>
      </c>
      <c r="E7" t="s">
        <v>1177</v>
      </c>
      <c r="F7" t="s">
        <v>1178</v>
      </c>
      <c r="G7">
        <v>0</v>
      </c>
    </row>
    <row r="8" spans="1:9" ht="21">
      <c r="A8" s="187" t="s">
        <v>1179</v>
      </c>
      <c r="B8" s="187"/>
      <c r="C8" s="187"/>
      <c r="D8" s="187"/>
      <c r="E8" s="187"/>
      <c r="F8" s="187"/>
      <c r="G8" s="187"/>
      <c r="H8" s="187"/>
      <c r="I8" s="59"/>
    </row>
    <row r="9" spans="1:9">
      <c r="A9" s="125" t="s">
        <v>16</v>
      </c>
      <c r="B9" s="22"/>
      <c r="C9" s="22" t="s">
        <v>16</v>
      </c>
      <c r="D9" s="127" t="s">
        <v>906</v>
      </c>
      <c r="E9" s="22" t="s">
        <v>1177</v>
      </c>
      <c r="F9" s="22" t="s">
        <v>1178</v>
      </c>
      <c r="G9" s="22">
        <f>SUM(G11,G13)</f>
        <v>0</v>
      </c>
      <c r="H9" s="22"/>
    </row>
    <row r="10" spans="1:9" ht="29.25" customHeight="1">
      <c r="A10" s="200" t="s">
        <v>1180</v>
      </c>
      <c r="B10" s="200"/>
      <c r="C10" s="200"/>
      <c r="D10" s="200"/>
      <c r="E10" s="200"/>
      <c r="F10" s="200"/>
      <c r="G10" s="200"/>
      <c r="H10" s="200"/>
      <c r="I10" s="59"/>
    </row>
    <row r="11" spans="1:9" ht="29.25" customHeight="1">
      <c r="A11" t="s">
        <v>14</v>
      </c>
      <c r="C11" t="s">
        <v>14</v>
      </c>
      <c r="D11" t="s">
        <v>91</v>
      </c>
      <c r="E11" t="s">
        <v>1181</v>
      </c>
      <c r="F11" s="1" t="s">
        <v>1182</v>
      </c>
      <c r="G11">
        <v>0</v>
      </c>
    </row>
    <row r="12" spans="1:9" ht="29.25" customHeight="1">
      <c r="A12" s="200" t="s">
        <v>1180</v>
      </c>
      <c r="B12" s="200"/>
      <c r="C12" s="200"/>
      <c r="D12" s="200"/>
      <c r="E12" s="200"/>
      <c r="F12" s="200"/>
      <c r="G12" s="200"/>
      <c r="H12" s="200"/>
      <c r="I12" s="59"/>
    </row>
    <row r="13" spans="1:9" ht="29.25" customHeight="1">
      <c r="A13" t="s">
        <v>14</v>
      </c>
      <c r="C13" t="s">
        <v>14</v>
      </c>
      <c r="D13" t="s">
        <v>91</v>
      </c>
      <c r="E13" t="s">
        <v>1181</v>
      </c>
      <c r="F13" s="1" t="s">
        <v>1182</v>
      </c>
      <c r="G13">
        <v>0</v>
      </c>
    </row>
    <row r="14" spans="1:9" ht="21">
      <c r="A14" s="187" t="s">
        <v>1183</v>
      </c>
      <c r="B14" s="187"/>
      <c r="C14" s="187"/>
      <c r="D14" s="187"/>
      <c r="E14" s="187"/>
      <c r="F14" s="187"/>
      <c r="G14" s="187"/>
      <c r="H14" s="187"/>
    </row>
    <row r="15" spans="1:9" ht="90">
      <c r="A15" t="s">
        <v>14</v>
      </c>
      <c r="C15" t="s">
        <v>14</v>
      </c>
      <c r="D15" t="s">
        <v>668</v>
      </c>
      <c r="E15" t="s">
        <v>362</v>
      </c>
      <c r="F15" s="1" t="s">
        <v>1184</v>
      </c>
      <c r="G15" t="s">
        <v>14</v>
      </c>
    </row>
    <row r="16" spans="1:9" ht="30">
      <c r="A16" s="125" t="s">
        <v>16</v>
      </c>
      <c r="B16" s="22"/>
      <c r="C16" s="22" t="s">
        <v>16</v>
      </c>
      <c r="D16" s="127" t="s">
        <v>906</v>
      </c>
      <c r="E16" s="22" t="s">
        <v>1185</v>
      </c>
      <c r="F16" s="5" t="s">
        <v>1186</v>
      </c>
      <c r="G16" s="22">
        <f>'Tool 05.1'!G6</f>
        <v>0.73499999999999999</v>
      </c>
      <c r="H16" s="22"/>
    </row>
    <row r="17" spans="1:8" ht="21">
      <c r="A17" s="187" t="s">
        <v>1187</v>
      </c>
      <c r="B17" s="187"/>
      <c r="C17" s="187"/>
      <c r="D17" s="187"/>
      <c r="E17" s="187"/>
      <c r="F17" s="187"/>
      <c r="G17" s="187"/>
      <c r="H17" s="187"/>
    </row>
    <row r="18" spans="1:8" ht="60">
      <c r="A18" t="s">
        <v>14</v>
      </c>
      <c r="C18" t="s">
        <v>14</v>
      </c>
      <c r="D18" t="s">
        <v>668</v>
      </c>
      <c r="E18" t="s">
        <v>362</v>
      </c>
      <c r="F18" s="1" t="s">
        <v>1188</v>
      </c>
      <c r="G18" t="s">
        <v>1013</v>
      </c>
    </row>
    <row r="19" spans="1:8" ht="21">
      <c r="A19" s="187" t="s">
        <v>1189</v>
      </c>
      <c r="B19" s="187"/>
      <c r="C19" s="187"/>
      <c r="D19" s="187"/>
      <c r="E19" s="187"/>
      <c r="F19" s="187"/>
      <c r="G19" s="187"/>
      <c r="H19" s="187"/>
    </row>
    <row r="20" spans="1:8" ht="30">
      <c r="A20" s="125" t="s">
        <v>16</v>
      </c>
      <c r="B20" s="22"/>
      <c r="C20" s="22" t="s">
        <v>16</v>
      </c>
      <c r="D20" s="127" t="s">
        <v>906</v>
      </c>
      <c r="E20" s="22" t="s">
        <v>1190</v>
      </c>
      <c r="F20" s="5" t="s">
        <v>1191</v>
      </c>
      <c r="G20" s="22">
        <f>'(Revised) Tool 03'!G3</f>
        <v>73.333333333333329</v>
      </c>
      <c r="H20" s="22"/>
    </row>
    <row r="21" spans="1:8" ht="21">
      <c r="A21" s="187" t="s">
        <v>1192</v>
      </c>
      <c r="B21" s="187"/>
      <c r="C21" s="187"/>
      <c r="D21" s="187"/>
      <c r="E21" s="187"/>
      <c r="F21" s="187"/>
      <c r="G21" s="187"/>
      <c r="H21" s="187"/>
    </row>
    <row r="22" spans="1:8" ht="30">
      <c r="A22" s="125" t="s">
        <v>16</v>
      </c>
      <c r="B22" s="22"/>
      <c r="C22" s="22" t="s">
        <v>16</v>
      </c>
      <c r="D22" s="127" t="s">
        <v>906</v>
      </c>
      <c r="E22" s="22" t="s">
        <v>1190</v>
      </c>
      <c r="F22" s="5" t="s">
        <v>1191</v>
      </c>
      <c r="G22" s="22">
        <f>G23*G24</f>
        <v>0</v>
      </c>
      <c r="H22" s="22"/>
    </row>
    <row r="23" spans="1:8">
      <c r="A23" t="s">
        <v>14</v>
      </c>
      <c r="C23" t="s">
        <v>14</v>
      </c>
      <c r="D23" t="s">
        <v>91</v>
      </c>
      <c r="E23" t="s">
        <v>1177</v>
      </c>
      <c r="F23" t="s">
        <v>1193</v>
      </c>
      <c r="G23">
        <v>0</v>
      </c>
    </row>
    <row r="24" spans="1:8" ht="30">
      <c r="A24" s="125" t="s">
        <v>16</v>
      </c>
      <c r="B24" s="22"/>
      <c r="C24" s="22" t="s">
        <v>16</v>
      </c>
      <c r="D24" s="127" t="s">
        <v>906</v>
      </c>
      <c r="E24" s="22" t="s">
        <v>1194</v>
      </c>
      <c r="F24" s="5" t="s">
        <v>1195</v>
      </c>
      <c r="G24" s="22">
        <f>0.0207</f>
        <v>2.07E-2</v>
      </c>
      <c r="H24" s="22"/>
    </row>
    <row r="25" spans="1:8" ht="21">
      <c r="A25" s="187" t="s">
        <v>1196</v>
      </c>
      <c r="B25" s="187"/>
      <c r="C25" s="187"/>
      <c r="D25" s="187"/>
      <c r="E25" s="187"/>
      <c r="F25" s="187"/>
      <c r="G25" s="187"/>
      <c r="H25" s="187"/>
    </row>
    <row r="26" spans="1:8" ht="60">
      <c r="A26" t="s">
        <v>14</v>
      </c>
      <c r="C26" t="s">
        <v>14</v>
      </c>
      <c r="D26" t="s">
        <v>668</v>
      </c>
      <c r="E26" t="s">
        <v>362</v>
      </c>
      <c r="F26" s="1" t="s">
        <v>1197</v>
      </c>
      <c r="G26" s="130" t="s">
        <v>1013</v>
      </c>
    </row>
    <row r="27" spans="1:8" ht="30">
      <c r="A27" s="125" t="s">
        <v>16</v>
      </c>
      <c r="B27" s="22"/>
      <c r="C27" s="22" t="s">
        <v>16</v>
      </c>
      <c r="D27" s="127" t="s">
        <v>906</v>
      </c>
      <c r="E27" s="22" t="s">
        <v>1198</v>
      </c>
      <c r="F27" s="5" t="s">
        <v>1199</v>
      </c>
      <c r="G27" s="131">
        <f>(IF(AND(G5="Option 1"),G7,IF(AND(G5="Option 2"),G9)))*G28*G55</f>
        <v>0</v>
      </c>
      <c r="H27" s="22"/>
    </row>
    <row r="28" spans="1:8" ht="30">
      <c r="A28" s="125" t="s">
        <v>16</v>
      </c>
      <c r="B28" s="22"/>
      <c r="C28" s="22" t="s">
        <v>16</v>
      </c>
      <c r="D28" s="127" t="s">
        <v>906</v>
      </c>
      <c r="E28" s="22" t="s">
        <v>1200</v>
      </c>
      <c r="F28" s="5" t="s">
        <v>1201</v>
      </c>
      <c r="G28" s="131">
        <f>IF(AND(G26="Option 1"),(SUM((G33/G35),(G38/G40))/G30),IF(AND(G26="Option 2"),0.002))</f>
        <v>2</v>
      </c>
      <c r="H28" s="22"/>
    </row>
    <row r="29" spans="1:8" ht="21">
      <c r="A29" s="187" t="s">
        <v>1202</v>
      </c>
      <c r="B29" s="187"/>
      <c r="C29" s="187"/>
      <c r="D29" s="187"/>
      <c r="E29" s="187"/>
      <c r="F29" s="187"/>
      <c r="G29" s="187"/>
      <c r="H29" s="187"/>
    </row>
    <row r="30" spans="1:8" ht="30">
      <c r="A30" t="s">
        <v>14</v>
      </c>
      <c r="C30" t="s">
        <v>14</v>
      </c>
      <c r="D30" t="s">
        <v>91</v>
      </c>
      <c r="E30" t="s">
        <v>1203</v>
      </c>
      <c r="F30" s="1" t="s">
        <v>1204</v>
      </c>
      <c r="G30">
        <v>1</v>
      </c>
    </row>
    <row r="31" spans="1:8" ht="21">
      <c r="A31" s="200" t="s">
        <v>1205</v>
      </c>
      <c r="B31" s="200"/>
      <c r="C31" s="200"/>
      <c r="D31" s="200"/>
      <c r="E31" s="200"/>
      <c r="F31" s="200"/>
      <c r="G31" s="200"/>
      <c r="H31" s="200"/>
    </row>
    <row r="32" spans="1:8">
      <c r="A32" t="s">
        <v>14</v>
      </c>
      <c r="C32" t="s">
        <v>14</v>
      </c>
      <c r="E32" t="s">
        <v>1206</v>
      </c>
      <c r="F32" t="s">
        <v>1207</v>
      </c>
      <c r="G32" s="130" t="s">
        <v>1208</v>
      </c>
    </row>
    <row r="33" spans="1:8">
      <c r="A33" t="s">
        <v>14</v>
      </c>
      <c r="C33" t="s">
        <v>14</v>
      </c>
      <c r="D33" t="s">
        <v>91</v>
      </c>
      <c r="E33" t="s">
        <v>1209</v>
      </c>
      <c r="F33" t="s">
        <v>1210</v>
      </c>
      <c r="G33">
        <v>1</v>
      </c>
    </row>
    <row r="34" spans="1:8" ht="30">
      <c r="A34" t="s">
        <v>14</v>
      </c>
      <c r="C34" t="s">
        <v>14</v>
      </c>
      <c r="D34" t="s">
        <v>91</v>
      </c>
      <c r="E34" t="s">
        <v>1211</v>
      </c>
      <c r="F34" s="1" t="s">
        <v>1212</v>
      </c>
      <c r="G34">
        <v>0</v>
      </c>
    </row>
    <row r="35" spans="1:8">
      <c r="A35" t="s">
        <v>14</v>
      </c>
      <c r="C35" t="s">
        <v>14</v>
      </c>
      <c r="D35" t="s">
        <v>91</v>
      </c>
      <c r="E35" t="s">
        <v>1213</v>
      </c>
      <c r="F35" t="s">
        <v>1214</v>
      </c>
      <c r="G35">
        <v>1</v>
      </c>
    </row>
    <row r="36" spans="1:8" ht="21">
      <c r="A36" s="200" t="s">
        <v>1205</v>
      </c>
      <c r="B36" s="200"/>
      <c r="C36" s="200"/>
      <c r="D36" s="200"/>
      <c r="E36" s="200"/>
      <c r="F36" s="200"/>
      <c r="G36" s="200"/>
      <c r="H36" s="200"/>
    </row>
    <row r="37" spans="1:8">
      <c r="A37" t="s">
        <v>14</v>
      </c>
      <c r="C37" t="s">
        <v>14</v>
      </c>
      <c r="E37" t="s">
        <v>1215</v>
      </c>
      <c r="F37" t="s">
        <v>1207</v>
      </c>
      <c r="G37" s="130" t="s">
        <v>1216</v>
      </c>
    </row>
    <row r="38" spans="1:8">
      <c r="A38" t="s">
        <v>14</v>
      </c>
      <c r="C38" t="s">
        <v>14</v>
      </c>
      <c r="D38" t="s">
        <v>91</v>
      </c>
      <c r="E38" t="s">
        <v>1209</v>
      </c>
      <c r="F38" t="s">
        <v>1210</v>
      </c>
      <c r="G38">
        <v>1</v>
      </c>
    </row>
    <row r="39" spans="1:8" ht="30">
      <c r="A39" t="s">
        <v>14</v>
      </c>
      <c r="C39" t="s">
        <v>14</v>
      </c>
      <c r="D39" t="s">
        <v>91</v>
      </c>
      <c r="E39" t="s">
        <v>1211</v>
      </c>
      <c r="F39" s="1" t="s">
        <v>1212</v>
      </c>
      <c r="G39">
        <v>0</v>
      </c>
    </row>
    <row r="40" spans="1:8">
      <c r="A40" t="s">
        <v>14</v>
      </c>
      <c r="C40" t="s">
        <v>14</v>
      </c>
      <c r="D40" t="s">
        <v>91</v>
      </c>
      <c r="E40" t="s">
        <v>1213</v>
      </c>
      <c r="F40" t="s">
        <v>1214</v>
      </c>
      <c r="G40">
        <v>1</v>
      </c>
    </row>
    <row r="41" spans="1:8" ht="21">
      <c r="A41" s="187" t="s">
        <v>1217</v>
      </c>
      <c r="B41" s="187"/>
      <c r="C41" s="187"/>
      <c r="D41" s="187"/>
      <c r="E41" s="187"/>
      <c r="F41" s="187"/>
      <c r="G41" s="187"/>
      <c r="H41" s="187"/>
    </row>
    <row r="42" spans="1:8" ht="60">
      <c r="A42" t="s">
        <v>14</v>
      </c>
      <c r="C42" t="s">
        <v>14</v>
      </c>
      <c r="D42" t="s">
        <v>668</v>
      </c>
      <c r="E42" t="s">
        <v>362</v>
      </c>
      <c r="F42" s="1" t="s">
        <v>1218</v>
      </c>
      <c r="G42" s="130" t="s">
        <v>1219</v>
      </c>
    </row>
    <row r="43" spans="1:8">
      <c r="A43" s="125" t="s">
        <v>16</v>
      </c>
      <c r="B43" s="22"/>
      <c r="C43" s="22" t="s">
        <v>16</v>
      </c>
      <c r="D43" s="127" t="s">
        <v>906</v>
      </c>
      <c r="E43" s="22" t="s">
        <v>1220</v>
      </c>
      <c r="F43" s="22" t="s">
        <v>1221</v>
      </c>
      <c r="G43" s="131">
        <f>(IF(AND(G5="Option 1"),G7,IF(AND(G5="Option 2"),G9)))*G44*G45</f>
        <v>0</v>
      </c>
      <c r="H43" s="22"/>
    </row>
    <row r="44" spans="1:8" ht="30">
      <c r="A44" s="125" t="s">
        <v>16</v>
      </c>
      <c r="B44" s="22"/>
      <c r="C44" s="22" t="s">
        <v>16</v>
      </c>
      <c r="D44" s="127" t="s">
        <v>906</v>
      </c>
      <c r="E44" s="22" t="s">
        <v>1222</v>
      </c>
      <c r="F44" s="5" t="s">
        <v>1223</v>
      </c>
      <c r="G44" s="131">
        <f>IF(AND(G42="Option 1"),(SUM((G34/G35),(G39/G40))/G30),IF(AND(G42="Option 2"),0.0002))</f>
        <v>2.0000000000000001E-4</v>
      </c>
      <c r="H44" s="22"/>
    </row>
    <row r="45" spans="1:8">
      <c r="A45" s="125" t="s">
        <v>16</v>
      </c>
      <c r="B45" s="22"/>
      <c r="C45" s="22" t="s">
        <v>16</v>
      </c>
      <c r="D45" s="127" t="s">
        <v>906</v>
      </c>
      <c r="E45" s="22" t="s">
        <v>1224</v>
      </c>
      <c r="F45" s="22" t="s">
        <v>1225</v>
      </c>
      <c r="G45" s="131">
        <v>310</v>
      </c>
      <c r="H45" s="22"/>
    </row>
    <row r="46" spans="1:8" ht="21" customHeight="1">
      <c r="A46" s="187" t="s">
        <v>1226</v>
      </c>
      <c r="B46" s="187"/>
      <c r="C46" s="187"/>
      <c r="D46" s="187"/>
      <c r="E46" s="187"/>
      <c r="F46" s="187"/>
      <c r="G46" s="187"/>
      <c r="H46" s="187"/>
    </row>
    <row r="47" spans="1:8">
      <c r="A47" t="s">
        <v>14</v>
      </c>
      <c r="C47" t="s">
        <v>14</v>
      </c>
      <c r="D47" t="s">
        <v>668</v>
      </c>
      <c r="E47" t="s">
        <v>362</v>
      </c>
      <c r="F47" t="s">
        <v>1227</v>
      </c>
      <c r="G47" s="130" t="s">
        <v>14</v>
      </c>
    </row>
    <row r="48" spans="1:8" ht="165">
      <c r="A48" t="s">
        <v>14</v>
      </c>
      <c r="C48" t="s">
        <v>14</v>
      </c>
      <c r="D48" t="s">
        <v>668</v>
      </c>
      <c r="E48" t="s">
        <v>362</v>
      </c>
      <c r="F48" s="1" t="s">
        <v>1228</v>
      </c>
      <c r="G48" s="130" t="s">
        <v>1013</v>
      </c>
    </row>
    <row r="49" spans="1:8" ht="30">
      <c r="A49" s="125" t="s">
        <v>16</v>
      </c>
      <c r="B49" s="22"/>
      <c r="C49" s="22" t="s">
        <v>16</v>
      </c>
      <c r="D49" s="127" t="s">
        <v>906</v>
      </c>
      <c r="E49" s="22" t="s">
        <v>1229</v>
      </c>
      <c r="F49" s="5" t="s">
        <v>1230</v>
      </c>
      <c r="G49" s="131">
        <f>IF(AND(G47="Yes"),0,IF(AND(G47="No"),G50*G51*G53*G54*G55))</f>
        <v>0</v>
      </c>
      <c r="H49" s="22"/>
    </row>
    <row r="50" spans="1:8" ht="30">
      <c r="A50" s="125" t="s">
        <v>16</v>
      </c>
      <c r="B50" s="22"/>
      <c r="C50" s="22" t="s">
        <v>16</v>
      </c>
      <c r="D50" s="127" t="s">
        <v>906</v>
      </c>
      <c r="E50" s="22" t="s">
        <v>1231</v>
      </c>
      <c r="F50" s="5" t="s">
        <v>1232</v>
      </c>
      <c r="G50" s="22">
        <f>IF(AND(G48="Option 1"),G57*G58,IF(AND(G48="Option 2"),G60*G61*G62))</f>
        <v>0</v>
      </c>
      <c r="H50" s="22"/>
    </row>
    <row r="51" spans="1:8">
      <c r="A51" s="125" t="s">
        <v>16</v>
      </c>
      <c r="B51" s="22"/>
      <c r="C51" s="22" t="s">
        <v>16</v>
      </c>
      <c r="D51" s="127" t="s">
        <v>906</v>
      </c>
      <c r="E51" s="22" t="s">
        <v>1233</v>
      </c>
      <c r="F51" s="22" t="s">
        <v>1234</v>
      </c>
      <c r="G51" s="22">
        <f>0.25</f>
        <v>0.25</v>
      </c>
      <c r="H51" s="22"/>
    </row>
    <row r="52" spans="1:8" ht="30">
      <c r="A52" t="s">
        <v>14</v>
      </c>
      <c r="C52" t="s">
        <v>14</v>
      </c>
      <c r="D52" t="s">
        <v>668</v>
      </c>
      <c r="E52" t="s">
        <v>28</v>
      </c>
      <c r="F52" s="1" t="s">
        <v>1235</v>
      </c>
      <c r="G52" s="1" t="s">
        <v>1236</v>
      </c>
    </row>
    <row r="53" spans="1:8" ht="30">
      <c r="A53" s="125" t="s">
        <v>16</v>
      </c>
      <c r="B53" s="22"/>
      <c r="C53" s="22" t="s">
        <v>16</v>
      </c>
      <c r="D53" s="127" t="s">
        <v>906</v>
      </c>
      <c r="E53" s="22" t="s">
        <v>1237</v>
      </c>
      <c r="F53" s="5" t="s">
        <v>1238</v>
      </c>
      <c r="G53" s="22">
        <f>IF(G52="","",VLOOKUP(G52,'Tool 13.1 MCF Defaults'!B3:C10,2,FALSE))</f>
        <v>0.2</v>
      </c>
      <c r="H53" s="22"/>
    </row>
    <row r="54" spans="1:8" ht="30">
      <c r="A54" s="125" t="s">
        <v>16</v>
      </c>
      <c r="B54" s="22"/>
      <c r="C54" s="22" t="s">
        <v>16</v>
      </c>
      <c r="D54" s="127" t="s">
        <v>906</v>
      </c>
      <c r="E54" s="22"/>
      <c r="F54" s="5" t="s">
        <v>1239</v>
      </c>
      <c r="G54" s="22">
        <f>1.12</f>
        <v>1.1200000000000001</v>
      </c>
      <c r="H54" s="22"/>
    </row>
    <row r="55" spans="1:8">
      <c r="A55" s="125" t="s">
        <v>16</v>
      </c>
      <c r="B55" s="22"/>
      <c r="C55" s="22" t="s">
        <v>16</v>
      </c>
      <c r="D55" s="127" t="s">
        <v>906</v>
      </c>
      <c r="E55" s="22" t="s">
        <v>790</v>
      </c>
      <c r="F55" s="22" t="s">
        <v>1240</v>
      </c>
      <c r="G55" s="22">
        <f>21</f>
        <v>21</v>
      </c>
      <c r="H55" s="22"/>
    </row>
    <row r="56" spans="1:8" ht="21">
      <c r="A56" s="187" t="s">
        <v>1241</v>
      </c>
      <c r="B56" s="187"/>
      <c r="C56" s="187"/>
      <c r="D56" s="187"/>
      <c r="E56" s="187"/>
      <c r="F56" s="187"/>
      <c r="G56" s="187"/>
      <c r="H56" s="187"/>
    </row>
    <row r="57" spans="1:8" ht="30">
      <c r="A57" t="s">
        <v>14</v>
      </c>
      <c r="C57" t="s">
        <v>14</v>
      </c>
      <c r="D57" s="132" t="s">
        <v>91</v>
      </c>
      <c r="E57" t="s">
        <v>1242</v>
      </c>
      <c r="F57" s="1" t="s">
        <v>1243</v>
      </c>
      <c r="G57">
        <v>0</v>
      </c>
    </row>
    <row r="58" spans="1:8" ht="30">
      <c r="A58" t="s">
        <v>14</v>
      </c>
      <c r="C58" t="s">
        <v>14</v>
      </c>
      <c r="D58" s="132" t="s">
        <v>91</v>
      </c>
      <c r="E58" t="s">
        <v>1244</v>
      </c>
      <c r="F58" s="1" t="s">
        <v>1245</v>
      </c>
      <c r="G58">
        <v>0</v>
      </c>
    </row>
    <row r="59" spans="1:8" ht="21">
      <c r="A59" s="187" t="s">
        <v>1246</v>
      </c>
      <c r="B59" s="187"/>
      <c r="C59" s="187"/>
      <c r="D59" s="187"/>
      <c r="E59" s="187"/>
      <c r="F59" s="187"/>
      <c r="G59" s="187"/>
      <c r="H59" s="187"/>
    </row>
    <row r="60" spans="1:8">
      <c r="A60" t="s">
        <v>14</v>
      </c>
      <c r="C60" t="s">
        <v>14</v>
      </c>
      <c r="D60" s="132" t="s">
        <v>91</v>
      </c>
      <c r="E60" t="s">
        <v>1247</v>
      </c>
      <c r="F60" t="s">
        <v>1248</v>
      </c>
      <c r="G60">
        <v>0</v>
      </c>
    </row>
    <row r="61" spans="1:8">
      <c r="A61" t="s">
        <v>14</v>
      </c>
      <c r="C61" t="s">
        <v>14</v>
      </c>
      <c r="D61" s="132" t="s">
        <v>91</v>
      </c>
      <c r="E61" t="s">
        <v>1249</v>
      </c>
      <c r="F61" t="s">
        <v>1250</v>
      </c>
      <c r="G61">
        <v>0</v>
      </c>
    </row>
    <row r="62" spans="1:8" ht="30">
      <c r="A62" s="125" t="s">
        <v>16</v>
      </c>
      <c r="B62" s="22"/>
      <c r="C62" s="22" t="s">
        <v>16</v>
      </c>
      <c r="D62" s="127" t="s">
        <v>906</v>
      </c>
      <c r="E62" s="22" t="s">
        <v>1251</v>
      </c>
      <c r="F62" s="5" t="s">
        <v>1252</v>
      </c>
      <c r="G62" s="22">
        <f>0.02</f>
        <v>0.02</v>
      </c>
      <c r="H62" s="22"/>
    </row>
    <row r="63" spans="1:8" ht="21">
      <c r="A63" s="187" t="s">
        <v>1253</v>
      </c>
      <c r="B63" s="187"/>
      <c r="C63" s="187"/>
      <c r="D63" s="187"/>
      <c r="E63" s="187"/>
      <c r="F63" s="187"/>
      <c r="G63" s="187"/>
      <c r="H63" s="187"/>
    </row>
    <row r="64" spans="1:8" ht="45">
      <c r="A64" t="s">
        <v>14</v>
      </c>
      <c r="C64" t="s">
        <v>14</v>
      </c>
      <c r="D64" t="s">
        <v>668</v>
      </c>
      <c r="E64" t="s">
        <v>362</v>
      </c>
      <c r="F64" s="1" t="s">
        <v>1254</v>
      </c>
      <c r="G64" s="130" t="s">
        <v>14</v>
      </c>
    </row>
    <row r="65" spans="1:8">
      <c r="A65" s="125" t="s">
        <v>16</v>
      </c>
      <c r="B65" s="22"/>
      <c r="C65" s="22" t="s">
        <v>16</v>
      </c>
      <c r="D65" s="127" t="s">
        <v>906</v>
      </c>
      <c r="E65" s="22" t="s">
        <v>1255</v>
      </c>
      <c r="F65" s="22" t="s">
        <v>1256</v>
      </c>
      <c r="G65" s="22">
        <f>IF(AND(G64="No"),0,IF(AND(G64="Yes"),'Tool 04-SWDS-Yearly'!C86))</f>
        <v>34.183359991239271</v>
      </c>
      <c r="H65" s="22"/>
    </row>
  </sheetData>
  <mergeCells count="19">
    <mergeCell ref="A63:H63"/>
    <mergeCell ref="A31:H31"/>
    <mergeCell ref="A36:H36"/>
    <mergeCell ref="A41:H41"/>
    <mergeCell ref="A46:H46"/>
    <mergeCell ref="A56:H56"/>
    <mergeCell ref="A59:H59"/>
    <mergeCell ref="A29:H29"/>
    <mergeCell ref="A2:H2"/>
    <mergeCell ref="A4:H4"/>
    <mergeCell ref="A6:H6"/>
    <mergeCell ref="A8:H8"/>
    <mergeCell ref="A10:H10"/>
    <mergeCell ref="A12:H12"/>
    <mergeCell ref="A14:H14"/>
    <mergeCell ref="A17:H17"/>
    <mergeCell ref="A19:H19"/>
    <mergeCell ref="A21:H21"/>
    <mergeCell ref="A25:H25"/>
  </mergeCells>
  <dataValidations count="3">
    <dataValidation type="list" allowBlank="1" showInputMessage="1" showErrorMessage="1" sqref="G18 G48 G26 G42" xr:uid="{7AA3218E-71C1-438C-9CFB-7428F2EB6D4C}">
      <formula1>"Option 1,Option 2"</formula1>
    </dataValidation>
    <dataValidation type="list" allowBlank="1" showInputMessage="1" showErrorMessage="1" sqref="G5" xr:uid="{60FF632A-4085-407A-A902-00FEE41E8E44}">
      <formula1>"Option 1, Option 2"</formula1>
    </dataValidation>
    <dataValidation type="list" allowBlank="1" showInputMessage="1" showErrorMessage="1" sqref="G15 G47 G64" xr:uid="{25C92D51-7C69-48C2-B917-AB7ED979BA99}">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3BD8-C28A-4BAF-8156-F1F7517E16F1}">
  <dimension ref="A1:G53"/>
  <sheetViews>
    <sheetView workbookViewId="0">
      <selection activeCell="G34" sqref="G34"/>
    </sheetView>
  </sheetViews>
  <sheetFormatPr defaultRowHeight="15"/>
  <cols>
    <col min="1" max="1" width="9.28515625" customWidth="1"/>
    <col min="2" max="2" width="50.140625" customWidth="1"/>
    <col min="3" max="3" width="15.5703125" customWidth="1"/>
  </cols>
  <sheetData>
    <row r="1" spans="1:7" ht="21.75" customHeight="1" thickBot="1">
      <c r="A1" s="141"/>
      <c r="B1" s="201" t="s">
        <v>1257</v>
      </c>
      <c r="C1" s="201"/>
      <c r="D1" s="141"/>
      <c r="E1" s="141"/>
      <c r="F1" s="141"/>
      <c r="G1" s="141"/>
    </row>
    <row r="2" spans="1:7" ht="38.25" thickBot="1">
      <c r="B2" s="142" t="s">
        <v>1258</v>
      </c>
      <c r="C2" s="133" t="s">
        <v>1259</v>
      </c>
    </row>
    <row r="3" spans="1:7">
      <c r="B3" s="143" t="s">
        <v>1260</v>
      </c>
      <c r="C3" s="144">
        <v>0.1</v>
      </c>
    </row>
    <row r="4" spans="1:7">
      <c r="B4" s="67" t="s">
        <v>1261</v>
      </c>
      <c r="C4" s="145">
        <v>0</v>
      </c>
    </row>
    <row r="5" spans="1:7">
      <c r="B5" s="68" t="s">
        <v>1262</v>
      </c>
      <c r="C5" s="145">
        <v>0.3</v>
      </c>
    </row>
    <row r="6" spans="1:7" ht="30">
      <c r="B6" s="68" t="s">
        <v>1263</v>
      </c>
      <c r="C6" s="145">
        <v>0.8</v>
      </c>
    </row>
    <row r="7" spans="1:7">
      <c r="B7" s="68" t="s">
        <v>1264</v>
      </c>
      <c r="C7" s="145">
        <v>0.8</v>
      </c>
    </row>
    <row r="8" spans="1:7">
      <c r="B8" s="68" t="s">
        <v>1236</v>
      </c>
      <c r="C8" s="145">
        <v>0.2</v>
      </c>
    </row>
    <row r="9" spans="1:7">
      <c r="B9" s="68" t="s">
        <v>1265</v>
      </c>
      <c r="C9" s="145">
        <v>0.8</v>
      </c>
    </row>
    <row r="10" spans="1:7" ht="15.75" thickBot="1">
      <c r="B10" s="64" t="s">
        <v>1266</v>
      </c>
      <c r="C10" s="146">
        <v>0.5</v>
      </c>
    </row>
    <row r="53" spans="7:7">
      <c r="G53" t="str">
        <f>IF(G52="","",VLOOKUP(G52,'Tool 13.1 MCF Defaults'!B3:C10,2,FALSE))</f>
        <v/>
      </c>
    </row>
  </sheetData>
  <mergeCells count="1">
    <mergeCell ref="B1:C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B1693-5BC5-4D8C-954D-097DD902D882}">
  <dimension ref="A1:G89"/>
  <sheetViews>
    <sheetView topLeftCell="A59" workbookViewId="0">
      <selection activeCell="F81" sqref="F81"/>
    </sheetView>
  </sheetViews>
  <sheetFormatPr defaultRowHeight="15"/>
  <cols>
    <col min="1" max="1" width="12.42578125" customWidth="1"/>
    <col min="2" max="2" width="11.140625" bestFit="1" customWidth="1"/>
    <col min="3" max="3" width="16.140625" bestFit="1" customWidth="1"/>
    <col min="4" max="4" width="16.140625" customWidth="1"/>
    <col min="5" max="5" width="54.28515625" customWidth="1"/>
    <col min="6" max="6" width="83" customWidth="1"/>
    <col min="7" max="7" width="59.140625" customWidth="1"/>
  </cols>
  <sheetData>
    <row r="1" spans="1:7" ht="75">
      <c r="A1" s="29" t="s">
        <v>360</v>
      </c>
      <c r="B1" s="30" t="s">
        <v>8</v>
      </c>
      <c r="C1" s="134" t="s">
        <v>7</v>
      </c>
      <c r="D1" s="134" t="s">
        <v>1</v>
      </c>
      <c r="E1" s="31" t="s">
        <v>362</v>
      </c>
      <c r="F1" s="134" t="s">
        <v>363</v>
      </c>
      <c r="G1" s="134" t="s">
        <v>364</v>
      </c>
    </row>
    <row r="2" spans="1:7" s="86" customFormat="1" ht="18.75">
      <c r="A2" s="135"/>
      <c r="B2" s="136"/>
      <c r="C2" s="136"/>
      <c r="D2" s="136"/>
      <c r="E2" s="135" t="s">
        <v>1267</v>
      </c>
      <c r="F2" s="136"/>
    </row>
    <row r="3" spans="1:7" s="25" customFormat="1" ht="45.75">
      <c r="A3" s="137" t="s">
        <v>14</v>
      </c>
      <c r="B3" s="140" t="s">
        <v>16</v>
      </c>
      <c r="C3" s="137" t="s">
        <v>668</v>
      </c>
      <c r="D3" s="138"/>
      <c r="E3" s="139" t="s">
        <v>1268</v>
      </c>
      <c r="F3" s="38" t="s">
        <v>1269</v>
      </c>
      <c r="G3" s="38" t="s">
        <v>1270</v>
      </c>
    </row>
    <row r="4" spans="1:7" s="25" customFormat="1" ht="45.75">
      <c r="A4" s="137" t="s">
        <v>14</v>
      </c>
      <c r="B4" s="140" t="s">
        <v>16</v>
      </c>
      <c r="C4" s="137" t="s">
        <v>429</v>
      </c>
      <c r="D4" s="138"/>
      <c r="E4" s="139" t="s">
        <v>1271</v>
      </c>
      <c r="F4" s="38" t="s">
        <v>1272</v>
      </c>
      <c r="G4" s="38" t="s">
        <v>1273</v>
      </c>
    </row>
    <row r="5" spans="1:7" s="86" customFormat="1" ht="18.75">
      <c r="A5" s="135"/>
      <c r="B5" s="136"/>
      <c r="C5" s="136"/>
      <c r="D5" s="136"/>
      <c r="E5" s="135" t="s">
        <v>1183</v>
      </c>
      <c r="F5" s="136"/>
    </row>
    <row r="6" spans="1:7" s="25" customFormat="1" ht="45.75">
      <c r="A6" s="137" t="s">
        <v>14</v>
      </c>
      <c r="B6" s="140" t="s">
        <v>16</v>
      </c>
      <c r="C6" s="137" t="s">
        <v>668</v>
      </c>
      <c r="D6" s="138"/>
      <c r="E6" s="139" t="s">
        <v>1274</v>
      </c>
      <c r="F6" s="38" t="s">
        <v>14</v>
      </c>
      <c r="G6" s="38" t="s">
        <v>1275</v>
      </c>
    </row>
    <row r="7" spans="1:7" s="25" customFormat="1" ht="45.75">
      <c r="A7" s="137" t="s">
        <v>14</v>
      </c>
      <c r="B7" s="140" t="s">
        <v>16</v>
      </c>
      <c r="C7" s="137" t="s">
        <v>668</v>
      </c>
      <c r="D7" s="138"/>
      <c r="E7" s="139" t="s">
        <v>1276</v>
      </c>
      <c r="F7" s="38" t="s">
        <v>14</v>
      </c>
      <c r="G7" s="38" t="s">
        <v>1277</v>
      </c>
    </row>
    <row r="8" spans="1:7" s="25" customFormat="1" ht="45.75">
      <c r="A8" s="137" t="s">
        <v>14</v>
      </c>
      <c r="B8" s="140" t="s">
        <v>16</v>
      </c>
      <c r="C8" s="137" t="s">
        <v>429</v>
      </c>
      <c r="D8" s="138"/>
      <c r="E8" s="139" t="s">
        <v>1278</v>
      </c>
      <c r="F8" s="38" t="s">
        <v>1272</v>
      </c>
      <c r="G8" s="38" t="s">
        <v>1279</v>
      </c>
    </row>
    <row r="9" spans="1:7" s="86" customFormat="1" ht="18.75">
      <c r="A9" s="135"/>
      <c r="B9" s="136"/>
      <c r="C9" s="136"/>
      <c r="D9" s="136"/>
      <c r="E9" s="135" t="s">
        <v>1280</v>
      </c>
      <c r="F9" s="136"/>
    </row>
    <row r="10" spans="1:7" s="25" customFormat="1" ht="105.75">
      <c r="A10" s="137" t="s">
        <v>14</v>
      </c>
      <c r="B10" s="140" t="s">
        <v>16</v>
      </c>
      <c r="C10" s="137" t="s">
        <v>429</v>
      </c>
      <c r="D10" s="138"/>
      <c r="E10" s="139" t="s">
        <v>1281</v>
      </c>
      <c r="F10" s="38" t="s">
        <v>1282</v>
      </c>
      <c r="G10" s="38" t="s">
        <v>1283</v>
      </c>
    </row>
    <row r="11" spans="1:7" s="25" customFormat="1" ht="45.75">
      <c r="A11" s="137" t="s">
        <v>14</v>
      </c>
      <c r="B11" s="140" t="s">
        <v>16</v>
      </c>
      <c r="C11" s="137" t="s">
        <v>429</v>
      </c>
      <c r="D11" s="138"/>
      <c r="E11" s="139" t="s">
        <v>1284</v>
      </c>
      <c r="F11" s="147" t="s">
        <v>1272</v>
      </c>
      <c r="G11" s="147" t="s">
        <v>1285</v>
      </c>
    </row>
    <row r="12" spans="1:7" s="86" customFormat="1" ht="18.75">
      <c r="A12" s="135"/>
      <c r="B12" s="136"/>
      <c r="C12" s="136"/>
      <c r="D12" s="136"/>
      <c r="E12" s="135" t="s">
        <v>1286</v>
      </c>
      <c r="F12" s="136"/>
    </row>
    <row r="13" spans="1:7" s="22" customFormat="1" ht="30">
      <c r="A13" s="22" t="s">
        <v>16</v>
      </c>
      <c r="B13" s="5" t="s">
        <v>16</v>
      </c>
      <c r="C13" s="22" t="s">
        <v>906</v>
      </c>
      <c r="D13" s="22" t="s">
        <v>1287</v>
      </c>
      <c r="E13" s="5" t="s">
        <v>1288</v>
      </c>
      <c r="F13" s="34">
        <f>IF(AND(F7="Yes"),0,F14+F15+F16+F17)</f>
        <v>0</v>
      </c>
    </row>
    <row r="14" spans="1:7" s="22" customFormat="1" ht="30">
      <c r="A14" s="22" t="s">
        <v>16</v>
      </c>
      <c r="B14" s="5" t="s">
        <v>16</v>
      </c>
      <c r="C14" s="22" t="s">
        <v>668</v>
      </c>
      <c r="D14" s="22" t="s">
        <v>1289</v>
      </c>
      <c r="E14" s="5" t="s">
        <v>1290</v>
      </c>
      <c r="F14" s="34">
        <f>IF(AND(F8="Default Values"),F49,IF(AND(F8="Monitored Values"),F47))</f>
        <v>0</v>
      </c>
      <c r="G14" s="49" t="s">
        <v>1291</v>
      </c>
    </row>
    <row r="15" spans="1:7" s="22" customFormat="1" ht="30">
      <c r="A15" s="22" t="s">
        <v>16</v>
      </c>
      <c r="B15" s="5" t="s">
        <v>16</v>
      </c>
      <c r="C15" s="22" t="s">
        <v>906</v>
      </c>
      <c r="D15" s="22" t="s">
        <v>1190</v>
      </c>
      <c r="E15" s="5" t="s">
        <v>1292</v>
      </c>
      <c r="F15" s="34">
        <f>F55</f>
        <v>73.333333333333329</v>
      </c>
      <c r="G15" s="34"/>
    </row>
    <row r="16" spans="1:7" s="22" customFormat="1" ht="30">
      <c r="A16" s="22" t="s">
        <v>16</v>
      </c>
      <c r="B16" s="5" t="s">
        <v>16</v>
      </c>
      <c r="C16" s="22" t="s">
        <v>906</v>
      </c>
      <c r="D16" s="22" t="s">
        <v>1198</v>
      </c>
      <c r="E16" s="5" t="s">
        <v>1293</v>
      </c>
      <c r="F16" s="34">
        <f>F57</f>
        <v>0</v>
      </c>
    </row>
    <row r="17" spans="1:7" s="22" customFormat="1">
      <c r="A17" s="22" t="s">
        <v>16</v>
      </c>
      <c r="B17" s="5" t="s">
        <v>16</v>
      </c>
      <c r="C17" s="22" t="s">
        <v>906</v>
      </c>
      <c r="D17" s="22" t="s">
        <v>1294</v>
      </c>
      <c r="E17" s="5" t="s">
        <v>1295</v>
      </c>
      <c r="F17" s="34">
        <f>F63</f>
        <v>20523.291091650441</v>
      </c>
      <c r="G17" s="34"/>
    </row>
    <row r="18" spans="1:7" s="86" customFormat="1" ht="18.75">
      <c r="A18" s="135"/>
      <c r="B18" s="136"/>
      <c r="C18" s="136"/>
      <c r="D18" s="136"/>
      <c r="E18" s="135" t="s">
        <v>1296</v>
      </c>
      <c r="F18" s="136"/>
    </row>
    <row r="19" spans="1:7" s="22" customFormat="1" ht="30">
      <c r="A19" s="22" t="s">
        <v>16</v>
      </c>
      <c r="B19" s="22" t="s">
        <v>16</v>
      </c>
      <c r="C19" s="22" t="s">
        <v>906</v>
      </c>
      <c r="D19" s="22" t="s">
        <v>1297</v>
      </c>
      <c r="E19" s="5" t="s">
        <v>1298</v>
      </c>
      <c r="F19" s="34">
        <f>(F20*F23)/((F22-F20)*F24)</f>
        <v>1.123142144638404</v>
      </c>
    </row>
    <row r="20" spans="1:7" ht="30">
      <c r="A20" t="s">
        <v>14</v>
      </c>
      <c r="B20" s="1" t="s">
        <v>14</v>
      </c>
      <c r="C20" t="s">
        <v>91</v>
      </c>
      <c r="D20" t="s">
        <v>1299</v>
      </c>
      <c r="E20" s="1" t="s">
        <v>1300</v>
      </c>
      <c r="F20" s="41">
        <v>1</v>
      </c>
    </row>
    <row r="21" spans="1:7">
      <c r="A21" t="s">
        <v>14</v>
      </c>
      <c r="B21" s="1" t="s">
        <v>14</v>
      </c>
      <c r="C21" t="s">
        <v>91</v>
      </c>
      <c r="D21" t="s">
        <v>1301</v>
      </c>
      <c r="E21" s="1" t="s">
        <v>1302</v>
      </c>
      <c r="F21" s="41">
        <v>1</v>
      </c>
    </row>
    <row r="22" spans="1:7" ht="30">
      <c r="A22" t="s">
        <v>14</v>
      </c>
      <c r="B22" s="1" t="s">
        <v>14</v>
      </c>
      <c r="C22" t="s">
        <v>91</v>
      </c>
      <c r="D22" t="s">
        <v>1303</v>
      </c>
      <c r="E22" s="1" t="s">
        <v>1304</v>
      </c>
      <c r="F22" s="41">
        <v>2</v>
      </c>
    </row>
    <row r="23" spans="1:7" s="22" customFormat="1">
      <c r="A23" s="22" t="s">
        <v>16</v>
      </c>
      <c r="B23" s="22" t="s">
        <v>16</v>
      </c>
      <c r="C23" s="22" t="s">
        <v>906</v>
      </c>
      <c r="D23" s="22" t="s">
        <v>1305</v>
      </c>
      <c r="E23" s="5" t="s">
        <v>1306</v>
      </c>
      <c r="F23" s="34">
        <f>18.0152</f>
        <v>18.0152</v>
      </c>
    </row>
    <row r="24" spans="1:7" s="22" customFormat="1" ht="30">
      <c r="A24" s="22" t="s">
        <v>16</v>
      </c>
      <c r="B24" s="22" t="s">
        <v>16</v>
      </c>
      <c r="C24" s="22" t="s">
        <v>906</v>
      </c>
      <c r="D24" s="22" t="s">
        <v>1307</v>
      </c>
      <c r="E24" s="5" t="s">
        <v>1308</v>
      </c>
      <c r="F24" s="34">
        <f>SUM(F25*F26)</f>
        <v>16.04</v>
      </c>
    </row>
    <row r="25" spans="1:7" ht="30">
      <c r="A25" t="s">
        <v>14</v>
      </c>
      <c r="B25" s="1" t="s">
        <v>14</v>
      </c>
      <c r="C25" t="s">
        <v>91</v>
      </c>
      <c r="D25" t="s">
        <v>1309</v>
      </c>
      <c r="E25" s="1" t="s">
        <v>1310</v>
      </c>
      <c r="F25" s="41">
        <v>1</v>
      </c>
    </row>
    <row r="26" spans="1:7" s="22" customFormat="1">
      <c r="A26" s="22" t="s">
        <v>16</v>
      </c>
      <c r="B26" s="22" t="s">
        <v>16</v>
      </c>
      <c r="C26" s="22" t="s">
        <v>906</v>
      </c>
      <c r="D26" s="22" t="s">
        <v>1311</v>
      </c>
      <c r="E26" s="22" t="s">
        <v>1312</v>
      </c>
      <c r="F26" s="34">
        <f>16.04</f>
        <v>16.04</v>
      </c>
    </row>
    <row r="27" spans="1:7" s="22" customFormat="1">
      <c r="A27" s="22" t="s">
        <v>16</v>
      </c>
      <c r="B27" s="22" t="s">
        <v>16</v>
      </c>
      <c r="C27" s="22" t="s">
        <v>906</v>
      </c>
      <c r="D27" s="22" t="s">
        <v>1313</v>
      </c>
      <c r="E27" s="5" t="s">
        <v>1314</v>
      </c>
      <c r="F27" s="22" t="s">
        <v>1315</v>
      </c>
    </row>
    <row r="28" spans="1:7" s="22" customFormat="1" ht="30">
      <c r="A28" s="22" t="s">
        <v>16</v>
      </c>
      <c r="B28" s="22" t="s">
        <v>16</v>
      </c>
      <c r="C28" s="22" t="s">
        <v>906</v>
      </c>
      <c r="D28" s="22" t="s">
        <v>850</v>
      </c>
      <c r="E28" s="5" t="s">
        <v>1316</v>
      </c>
      <c r="F28" s="34">
        <f>F29*F30*F31</f>
        <v>16.040000000000003</v>
      </c>
    </row>
    <row r="29" spans="1:7" s="22" customFormat="1" ht="30">
      <c r="A29" s="22" t="s">
        <v>16</v>
      </c>
      <c r="B29" s="22" t="s">
        <v>16</v>
      </c>
      <c r="C29" s="22" t="s">
        <v>906</v>
      </c>
      <c r="D29" s="22" t="s">
        <v>1317</v>
      </c>
      <c r="E29" s="5" t="s">
        <v>1318</v>
      </c>
      <c r="F29" s="34">
        <f>F36/F37</f>
        <v>22.412722427831234</v>
      </c>
    </row>
    <row r="30" spans="1:7" ht="45">
      <c r="A30" t="s">
        <v>14</v>
      </c>
      <c r="B30" t="s">
        <v>14</v>
      </c>
      <c r="C30" t="s">
        <v>91</v>
      </c>
      <c r="D30" t="s">
        <v>1319</v>
      </c>
      <c r="E30" s="1" t="s">
        <v>1320</v>
      </c>
      <c r="F30" s="41">
        <v>1</v>
      </c>
    </row>
    <row r="31" spans="1:7" s="22" customFormat="1" ht="45">
      <c r="A31" s="22" t="s">
        <v>16</v>
      </c>
      <c r="B31" s="22" t="s">
        <v>16</v>
      </c>
      <c r="C31" s="22" t="s">
        <v>906</v>
      </c>
      <c r="D31" s="22" t="s">
        <v>1321</v>
      </c>
      <c r="E31" s="5" t="s">
        <v>1322</v>
      </c>
      <c r="F31" s="34">
        <f>(F32*F34)/(F35*F33)</f>
        <v>0.71566495554695142</v>
      </c>
    </row>
    <row r="32" spans="1:7" s="22" customFormat="1">
      <c r="A32" s="22" t="s">
        <v>16</v>
      </c>
      <c r="B32" s="22" t="s">
        <v>16</v>
      </c>
      <c r="C32" s="22" t="s">
        <v>906</v>
      </c>
      <c r="E32" s="5" t="s">
        <v>1323</v>
      </c>
      <c r="F32" s="34">
        <f>101325</f>
        <v>101325</v>
      </c>
    </row>
    <row r="33" spans="1:7" s="22" customFormat="1">
      <c r="A33" s="22" t="s">
        <v>16</v>
      </c>
      <c r="B33" s="22" t="s">
        <v>16</v>
      </c>
      <c r="C33" s="22" t="s">
        <v>906</v>
      </c>
      <c r="D33" s="22" t="s">
        <v>1324</v>
      </c>
      <c r="E33" s="5" t="s">
        <v>1325</v>
      </c>
      <c r="F33" s="34">
        <f>273.15</f>
        <v>273.14999999999998</v>
      </c>
    </row>
    <row r="34" spans="1:7" s="22" customFormat="1">
      <c r="A34" s="22" t="s">
        <v>16</v>
      </c>
      <c r="B34" s="22" t="s">
        <v>16</v>
      </c>
      <c r="C34" s="22" t="s">
        <v>906</v>
      </c>
      <c r="D34" s="22" t="s">
        <v>1326</v>
      </c>
      <c r="E34" s="5" t="s">
        <v>1327</v>
      </c>
      <c r="F34" s="34">
        <f>16.04</f>
        <v>16.04</v>
      </c>
    </row>
    <row r="35" spans="1:7" s="22" customFormat="1">
      <c r="A35" s="22" t="s">
        <v>16</v>
      </c>
      <c r="B35" s="22" t="s">
        <v>16</v>
      </c>
      <c r="C35" s="22" t="s">
        <v>906</v>
      </c>
      <c r="D35" s="22" t="s">
        <v>1328</v>
      </c>
      <c r="E35" s="5" t="s">
        <v>1329</v>
      </c>
      <c r="F35" s="34">
        <f>8314</f>
        <v>8314</v>
      </c>
    </row>
    <row r="36" spans="1:7" ht="30">
      <c r="A36" t="s">
        <v>14</v>
      </c>
      <c r="B36" t="s">
        <v>14</v>
      </c>
      <c r="C36" t="s">
        <v>91</v>
      </c>
      <c r="D36" t="s">
        <v>1330</v>
      </c>
      <c r="E36" s="1" t="s">
        <v>1331</v>
      </c>
      <c r="F36" s="41">
        <v>1</v>
      </c>
    </row>
    <row r="37" spans="1:7" s="22" customFormat="1" ht="30">
      <c r="A37" s="22" t="s">
        <v>16</v>
      </c>
      <c r="B37" s="22" t="s">
        <v>16</v>
      </c>
      <c r="C37" s="22" t="s">
        <v>906</v>
      </c>
      <c r="D37" s="22" t="s">
        <v>1332</v>
      </c>
      <c r="E37" s="5" t="s">
        <v>1333</v>
      </c>
      <c r="F37" s="34">
        <f>(F32*F38)/(F35*F33)</f>
        <v>4.4617515931854826E-2</v>
      </c>
    </row>
    <row r="38" spans="1:7" ht="45">
      <c r="A38" t="s">
        <v>14</v>
      </c>
      <c r="B38" t="s">
        <v>14</v>
      </c>
      <c r="C38" t="s">
        <v>91</v>
      </c>
      <c r="D38" t="s">
        <v>1334</v>
      </c>
      <c r="E38" s="1" t="s">
        <v>1335</v>
      </c>
      <c r="F38" s="41">
        <v>1</v>
      </c>
    </row>
    <row r="39" spans="1:7" ht="30">
      <c r="A39" t="s">
        <v>14</v>
      </c>
      <c r="B39" t="s">
        <v>14</v>
      </c>
      <c r="C39" t="s">
        <v>91</v>
      </c>
      <c r="D39" t="s">
        <v>1336</v>
      </c>
      <c r="E39" s="1" t="s">
        <v>1337</v>
      </c>
      <c r="F39" s="41">
        <v>1</v>
      </c>
    </row>
    <row r="40" spans="1:7">
      <c r="A40" t="s">
        <v>14</v>
      </c>
      <c r="B40" t="s">
        <v>14</v>
      </c>
      <c r="C40" t="s">
        <v>15</v>
      </c>
      <c r="D40" t="s">
        <v>1338</v>
      </c>
      <c r="E40" s="1" t="s">
        <v>1339</v>
      </c>
      <c r="F40" t="s">
        <v>1340</v>
      </c>
    </row>
    <row r="41" spans="1:7" s="86" customFormat="1" ht="18.75">
      <c r="A41" s="135"/>
      <c r="B41" s="136"/>
      <c r="C41" s="136"/>
      <c r="D41" s="136"/>
      <c r="E41" s="135" t="s">
        <v>1341</v>
      </c>
      <c r="F41" s="136"/>
    </row>
    <row r="42" spans="1:7" s="22" customFormat="1" ht="30">
      <c r="A42" s="22" t="s">
        <v>16</v>
      </c>
      <c r="B42" s="22" t="s">
        <v>16</v>
      </c>
      <c r="C42" s="22" t="s">
        <v>906</v>
      </c>
      <c r="D42" s="22" t="s">
        <v>1342</v>
      </c>
      <c r="E42" s="5" t="s">
        <v>1343</v>
      </c>
      <c r="F42" s="34">
        <f>F43*F44*F45</f>
        <v>0</v>
      </c>
    </row>
    <row r="43" spans="1:7" ht="30">
      <c r="A43" t="s">
        <v>14</v>
      </c>
      <c r="B43" t="s">
        <v>14</v>
      </c>
      <c r="C43" t="s">
        <v>91</v>
      </c>
      <c r="D43" t="s">
        <v>1344</v>
      </c>
      <c r="E43" s="1" t="s">
        <v>1345</v>
      </c>
      <c r="F43">
        <v>0</v>
      </c>
    </row>
    <row r="44" spans="1:7" s="22" customFormat="1" ht="30">
      <c r="A44" s="22" t="s">
        <v>16</v>
      </c>
      <c r="B44" s="22" t="s">
        <v>16</v>
      </c>
      <c r="C44" s="22" t="s">
        <v>906</v>
      </c>
      <c r="D44" s="22" t="s">
        <v>1346</v>
      </c>
      <c r="E44" s="5" t="s">
        <v>1347</v>
      </c>
      <c r="F44" s="34">
        <v>0.6</v>
      </c>
    </row>
    <row r="45" spans="1:7" s="22" customFormat="1" ht="30">
      <c r="A45" s="22" t="s">
        <v>16</v>
      </c>
      <c r="B45" s="22" t="s">
        <v>16</v>
      </c>
      <c r="C45" s="22" t="s">
        <v>906</v>
      </c>
      <c r="D45" s="22" t="s">
        <v>1348</v>
      </c>
      <c r="E45" s="5" t="s">
        <v>1349</v>
      </c>
      <c r="F45" s="34">
        <v>6.7000000000000002E-4</v>
      </c>
    </row>
    <row r="46" spans="1:7" s="86" customFormat="1" ht="18.75">
      <c r="A46" s="135"/>
      <c r="B46" s="136"/>
      <c r="C46" s="136"/>
      <c r="D46" s="136"/>
      <c r="E46" s="135" t="s">
        <v>1350</v>
      </c>
      <c r="F46" s="136"/>
    </row>
    <row r="47" spans="1:7" s="22" customFormat="1" ht="30">
      <c r="A47" s="22" t="s">
        <v>16</v>
      </c>
      <c r="B47" s="22" t="s">
        <v>16</v>
      </c>
      <c r="C47" s="22" t="s">
        <v>906</v>
      </c>
      <c r="D47" s="22" t="s">
        <v>1289</v>
      </c>
      <c r="E47" s="5" t="s">
        <v>588</v>
      </c>
      <c r="F47" s="34">
        <f>'Tool 05.1'!G6</f>
        <v>0.73499999999999999</v>
      </c>
      <c r="G47" s="34" t="s">
        <v>1351</v>
      </c>
    </row>
    <row r="48" spans="1:7" s="86" customFormat="1" ht="18.75">
      <c r="A48" s="135"/>
      <c r="B48" s="136"/>
      <c r="C48" s="136"/>
      <c r="D48" s="136"/>
      <c r="E48" s="135" t="s">
        <v>1352</v>
      </c>
      <c r="F48" s="136"/>
    </row>
    <row r="49" spans="1:7" s="22" customFormat="1" ht="30">
      <c r="A49" s="22" t="s">
        <v>16</v>
      </c>
      <c r="B49" s="22" t="s">
        <v>16</v>
      </c>
      <c r="C49" s="22" t="s">
        <v>906</v>
      </c>
      <c r="D49" s="22" t="s">
        <v>1289</v>
      </c>
      <c r="E49" s="5" t="s">
        <v>1353</v>
      </c>
      <c r="F49" s="34">
        <f>F50*F52*F53</f>
        <v>0</v>
      </c>
    </row>
    <row r="50" spans="1:7" ht="30">
      <c r="A50" s="59" t="s">
        <v>14</v>
      </c>
      <c r="B50" s="59" t="s">
        <v>14</v>
      </c>
      <c r="C50" t="s">
        <v>91</v>
      </c>
      <c r="D50" t="s">
        <v>1342</v>
      </c>
      <c r="E50" s="1" t="s">
        <v>1354</v>
      </c>
      <c r="F50">
        <v>0</v>
      </c>
    </row>
    <row r="51" spans="1:7" s="149" customFormat="1" ht="165">
      <c r="A51" s="148"/>
      <c r="B51" s="148"/>
      <c r="C51" s="149" t="s">
        <v>668</v>
      </c>
      <c r="D51" s="149" t="s">
        <v>362</v>
      </c>
      <c r="E51" s="150" t="s">
        <v>1355</v>
      </c>
      <c r="F51" s="149" t="s">
        <v>274</v>
      </c>
    </row>
    <row r="52" spans="1:7" s="22" customFormat="1" ht="45">
      <c r="A52" s="22" t="s">
        <v>16</v>
      </c>
      <c r="B52" s="22" t="s">
        <v>16</v>
      </c>
      <c r="C52" s="22" t="s">
        <v>906</v>
      </c>
      <c r="D52" s="22" t="s">
        <v>1356</v>
      </c>
      <c r="E52" s="43" t="s">
        <v>1357</v>
      </c>
      <c r="F52" s="49">
        <f>IF(AND(F51="Option A"),0,IF(AND(F51="Option B"),0.01,IF(AND(F51="Option C"),1.02,IF(AND(F51="Option D"),1.54,IF(AND(F51="Option E"),0)))))</f>
        <v>0.01</v>
      </c>
      <c r="G52" s="5" t="s">
        <v>1358</v>
      </c>
    </row>
    <row r="53" spans="1:7" s="22" customFormat="1" ht="30">
      <c r="A53" s="22" t="s">
        <v>16</v>
      </c>
      <c r="B53" s="22" t="s">
        <v>16</v>
      </c>
      <c r="C53" s="22" t="s">
        <v>906</v>
      </c>
      <c r="D53" s="22" t="s">
        <v>1359</v>
      </c>
      <c r="E53" s="5" t="s">
        <v>1360</v>
      </c>
      <c r="F53" s="34">
        <v>1.3</v>
      </c>
    </row>
    <row r="54" spans="1:7" s="86" customFormat="1" ht="18.75">
      <c r="A54" s="135"/>
      <c r="B54" s="136"/>
      <c r="C54" s="136"/>
      <c r="D54" s="136"/>
      <c r="E54" s="135" t="s">
        <v>1361</v>
      </c>
      <c r="F54" s="136"/>
    </row>
    <row r="55" spans="1:7" s="22" customFormat="1" ht="30">
      <c r="A55" s="22" t="s">
        <v>16</v>
      </c>
      <c r="B55" s="22" t="s">
        <v>16</v>
      </c>
      <c r="C55" s="22" t="s">
        <v>906</v>
      </c>
      <c r="D55" s="22" t="s">
        <v>1190</v>
      </c>
      <c r="E55" s="5" t="s">
        <v>588</v>
      </c>
      <c r="F55" s="34">
        <f>'(Revised) Tool 03'!G3</f>
        <v>73.333333333333329</v>
      </c>
      <c r="G55" s="34" t="s">
        <v>1362</v>
      </c>
    </row>
    <row r="56" spans="1:7" s="86" customFormat="1" ht="18.75">
      <c r="A56" s="135"/>
      <c r="B56" s="136"/>
      <c r="C56" s="136"/>
      <c r="D56" s="136"/>
      <c r="E56" s="135" t="s">
        <v>1363</v>
      </c>
      <c r="F56" s="136"/>
    </row>
    <row r="57" spans="1:7" s="22" customFormat="1" ht="30">
      <c r="A57" s="22" t="s">
        <v>16</v>
      </c>
      <c r="B57" s="22" t="s">
        <v>16</v>
      </c>
      <c r="C57" s="22" t="s">
        <v>906</v>
      </c>
      <c r="D57" s="22" t="s">
        <v>1364</v>
      </c>
      <c r="E57" s="5" t="s">
        <v>1293</v>
      </c>
      <c r="F57" s="34">
        <f>F58*F60*F61</f>
        <v>0</v>
      </c>
    </row>
    <row r="58" spans="1:7" ht="30">
      <c r="A58" s="59" t="s">
        <v>14</v>
      </c>
      <c r="B58" s="59" t="s">
        <v>14</v>
      </c>
      <c r="C58" t="s">
        <v>91</v>
      </c>
      <c r="D58" t="s">
        <v>1342</v>
      </c>
      <c r="E58" s="1" t="s">
        <v>1354</v>
      </c>
      <c r="F58">
        <v>0</v>
      </c>
    </row>
    <row r="59" spans="1:7" s="149" customFormat="1" ht="180">
      <c r="A59" s="148"/>
      <c r="B59" s="148"/>
      <c r="E59" s="150" t="s">
        <v>1365</v>
      </c>
      <c r="F59" s="149" t="s">
        <v>347</v>
      </c>
    </row>
    <row r="60" spans="1:7" s="22" customFormat="1" ht="30">
      <c r="A60" s="22" t="s">
        <v>16</v>
      </c>
      <c r="B60" s="22" t="s">
        <v>16</v>
      </c>
      <c r="C60" s="22" t="s">
        <v>906</v>
      </c>
      <c r="D60" s="22" t="s">
        <v>1366</v>
      </c>
      <c r="E60" s="5" t="s">
        <v>1367</v>
      </c>
      <c r="F60" s="49">
        <f>IF(AND(F59="Option A"),0.028,IF(AND(F59="Option B"),0.05,IF(AND(F59="Option C"),0.1,IF(AND(F59="Option D"),0.01))))</f>
        <v>2.8000000000000001E-2</v>
      </c>
      <c r="G60" s="5" t="s">
        <v>1368</v>
      </c>
    </row>
    <row r="61" spans="1:7" s="22" customFormat="1">
      <c r="A61" s="22" t="s">
        <v>16</v>
      </c>
      <c r="B61" s="22" t="s">
        <v>16</v>
      </c>
      <c r="C61" s="22" t="s">
        <v>906</v>
      </c>
      <c r="D61" s="22" t="s">
        <v>1369</v>
      </c>
      <c r="E61" s="5" t="s">
        <v>1370</v>
      </c>
      <c r="F61" s="34">
        <v>21</v>
      </c>
    </row>
    <row r="62" spans="1:7" s="86" customFormat="1" ht="18.75">
      <c r="A62" s="135"/>
      <c r="B62" s="136"/>
      <c r="C62" s="136"/>
      <c r="D62" s="136"/>
      <c r="E62" s="135" t="s">
        <v>1371</v>
      </c>
      <c r="F62" s="136"/>
    </row>
    <row r="63" spans="1:7" s="22" customFormat="1" ht="30">
      <c r="A63" s="22" t="s">
        <v>16</v>
      </c>
      <c r="B63" s="22" t="s">
        <v>16</v>
      </c>
      <c r="C63" s="22" t="s">
        <v>906</v>
      </c>
      <c r="D63" s="22" t="s">
        <v>883</v>
      </c>
      <c r="E63" s="5" t="s">
        <v>884</v>
      </c>
      <c r="F63" s="34">
        <f>'Tool 06'!F69</f>
        <v>20523.291091650441</v>
      </c>
      <c r="G63" s="34" t="s">
        <v>1372</v>
      </c>
    </row>
    <row r="64" spans="1:7" s="86" customFormat="1" ht="18.75">
      <c r="A64" s="135"/>
      <c r="B64" s="136"/>
      <c r="C64" s="136"/>
      <c r="D64" s="136"/>
      <c r="E64" s="135" t="s">
        <v>1373</v>
      </c>
      <c r="F64" s="136"/>
    </row>
    <row r="65" spans="1:7" s="22" customFormat="1" ht="30">
      <c r="A65" s="22" t="s">
        <v>16</v>
      </c>
      <c r="B65" s="22" t="s">
        <v>16</v>
      </c>
      <c r="C65" s="22" t="s">
        <v>906</v>
      </c>
      <c r="D65" s="22" t="s">
        <v>1374</v>
      </c>
      <c r="E65" s="5" t="s">
        <v>1375</v>
      </c>
      <c r="F65" s="34">
        <f>F66+F67</f>
        <v>74.068333333333328</v>
      </c>
    </row>
    <row r="66" spans="1:7" s="22" customFormat="1" ht="30">
      <c r="A66" s="22" t="s">
        <v>16</v>
      </c>
      <c r="B66" s="22" t="s">
        <v>16</v>
      </c>
      <c r="C66" s="22" t="s">
        <v>906</v>
      </c>
      <c r="D66" s="22" t="s">
        <v>1376</v>
      </c>
      <c r="E66" s="5" t="s">
        <v>1377</v>
      </c>
      <c r="F66" s="151">
        <f>IF(AND(F10="Option 3"),0,IF(AND(F10="Option 1",F11="Monitored Data"),F69,IF(AND(F11="Default Values",F10="Option 1"),F77,IF(AND(F11="Default Values",F10="Option 2"),F83,IF(AND(F10="Option 2",F11="Monitored Data"),F89)))))</f>
        <v>0</v>
      </c>
      <c r="G66" s="152"/>
    </row>
    <row r="67" spans="1:7" s="22" customFormat="1" ht="30">
      <c r="A67" s="22" t="s">
        <v>16</v>
      </c>
      <c r="B67" s="22" t="s">
        <v>16</v>
      </c>
      <c r="C67" s="22" t="s">
        <v>906</v>
      </c>
      <c r="D67" s="22" t="s">
        <v>1378</v>
      </c>
      <c r="E67" s="5" t="s">
        <v>1379</v>
      </c>
      <c r="F67" s="49">
        <f>'Tool 13'!G3</f>
        <v>74.068333333333328</v>
      </c>
      <c r="G67" s="22" t="s">
        <v>1380</v>
      </c>
    </row>
    <row r="68" spans="1:7" s="86" customFormat="1" ht="18.75">
      <c r="A68" s="135"/>
      <c r="B68" s="136"/>
      <c r="C68" s="136"/>
      <c r="D68" s="136"/>
      <c r="E68" s="135" t="s">
        <v>1381</v>
      </c>
      <c r="F68" s="136"/>
    </row>
    <row r="69" spans="1:7" s="22" customFormat="1" ht="30">
      <c r="A69" s="22" t="s">
        <v>16</v>
      </c>
      <c r="B69" s="22" t="s">
        <v>16</v>
      </c>
      <c r="C69" s="22" t="s">
        <v>906</v>
      </c>
      <c r="D69" s="22" t="s">
        <v>1376</v>
      </c>
      <c r="E69" s="5" t="s">
        <v>1377</v>
      </c>
      <c r="F69" s="34">
        <f>F70*F71*F72*F74*F75</f>
        <v>4.2</v>
      </c>
    </row>
    <row r="70" spans="1:7" ht="30">
      <c r="A70" t="s">
        <v>14</v>
      </c>
      <c r="B70" t="s">
        <v>14</v>
      </c>
      <c r="C70" t="s">
        <v>91</v>
      </c>
      <c r="D70" t="s">
        <v>1382</v>
      </c>
      <c r="E70" s="1" t="s">
        <v>1383</v>
      </c>
      <c r="F70" s="41">
        <v>1</v>
      </c>
    </row>
    <row r="71" spans="1:7" ht="30">
      <c r="A71" t="s">
        <v>14</v>
      </c>
      <c r="B71" t="s">
        <v>14</v>
      </c>
      <c r="C71" t="s">
        <v>91</v>
      </c>
      <c r="D71" t="s">
        <v>1384</v>
      </c>
      <c r="E71" s="1" t="s">
        <v>1385</v>
      </c>
      <c r="F71" s="41">
        <v>1</v>
      </c>
    </row>
    <row r="72" spans="1:7" s="22" customFormat="1" ht="30">
      <c r="A72" s="22" t="s">
        <v>1097</v>
      </c>
      <c r="B72" s="22" t="s">
        <v>16</v>
      </c>
      <c r="C72" s="22" t="s">
        <v>906</v>
      </c>
      <c r="D72" s="22" t="s">
        <v>1386</v>
      </c>
      <c r="E72" s="5" t="s">
        <v>1387</v>
      </c>
      <c r="F72" s="34">
        <f>0.25</f>
        <v>0.25</v>
      </c>
    </row>
    <row r="73" spans="1:7" s="25" customFormat="1" ht="30">
      <c r="A73" s="25" t="s">
        <v>14</v>
      </c>
      <c r="B73" s="25" t="s">
        <v>16</v>
      </c>
      <c r="C73" s="25" t="s">
        <v>429</v>
      </c>
      <c r="D73" s="25" t="s">
        <v>1388</v>
      </c>
      <c r="E73" s="26" t="s">
        <v>1389</v>
      </c>
      <c r="F73" s="26" t="s">
        <v>1390</v>
      </c>
      <c r="G73" s="26"/>
    </row>
    <row r="74" spans="1:7" s="22" customFormat="1">
      <c r="A74" s="22" t="s">
        <v>16</v>
      </c>
      <c r="B74" s="22" t="s">
        <v>16</v>
      </c>
      <c r="C74" s="22" t="s">
        <v>906</v>
      </c>
      <c r="D74" s="22" t="s">
        <v>1388</v>
      </c>
      <c r="E74" s="5" t="s">
        <v>1391</v>
      </c>
      <c r="F74" s="49">
        <f>IF(AND(F73="≥ 2 m"),0.8,IF(AND(F73="&lt; 2 m and ≥ 1 m"),0.2,IF(AND(F73="&lt; 1 m"),0)))</f>
        <v>0.8</v>
      </c>
      <c r="G74" s="5" t="s">
        <v>1392</v>
      </c>
    </row>
    <row r="75" spans="1:7" s="22" customFormat="1">
      <c r="A75" s="22" t="s">
        <v>16</v>
      </c>
      <c r="B75" s="22" t="s">
        <v>16</v>
      </c>
      <c r="C75" s="22" t="s">
        <v>906</v>
      </c>
      <c r="D75" s="22" t="s">
        <v>1369</v>
      </c>
      <c r="E75" s="5" t="s">
        <v>1370</v>
      </c>
      <c r="F75" s="34">
        <f>21</f>
        <v>21</v>
      </c>
    </row>
    <row r="76" spans="1:7" s="86" customFormat="1" ht="18.75">
      <c r="A76" s="135"/>
      <c r="B76" s="136"/>
      <c r="C76" s="136"/>
      <c r="D76" s="136"/>
      <c r="E76" s="135" t="s">
        <v>1393</v>
      </c>
      <c r="F76" s="136"/>
    </row>
    <row r="77" spans="1:7" s="22" customFormat="1" ht="30">
      <c r="A77" s="22" t="s">
        <v>16</v>
      </c>
      <c r="B77" s="22" t="s">
        <v>16</v>
      </c>
      <c r="C77" s="22" t="s">
        <v>906</v>
      </c>
      <c r="D77" s="22" t="s">
        <v>1376</v>
      </c>
      <c r="E77" s="5" t="s">
        <v>1377</v>
      </c>
      <c r="F77" s="34">
        <f>F79*F80*F81</f>
        <v>0</v>
      </c>
    </row>
    <row r="78" spans="1:7" s="25" customFormat="1" ht="120">
      <c r="E78" s="26" t="s">
        <v>1394</v>
      </c>
      <c r="F78" s="153" t="s">
        <v>1219</v>
      </c>
    </row>
    <row r="79" spans="1:7" s="22" customFormat="1" ht="30">
      <c r="A79" s="22" t="s">
        <v>14</v>
      </c>
      <c r="B79" s="22" t="s">
        <v>16</v>
      </c>
      <c r="C79" s="22" t="s">
        <v>429</v>
      </c>
      <c r="D79" s="22" t="s">
        <v>1395</v>
      </c>
      <c r="E79" s="5" t="s">
        <v>1396</v>
      </c>
      <c r="F79" s="49">
        <f>IF(AND(F78="Option 1"),0.1,IF(AND(F78="Option 2"),0.15,IF(AND(F78="Option 3"),0.2,IF(AND(F78="Option 4"),0.05))))</f>
        <v>0.15</v>
      </c>
      <c r="G79" s="5" t="s">
        <v>1397</v>
      </c>
    </row>
    <row r="80" spans="1:7" ht="30">
      <c r="A80" t="s">
        <v>14</v>
      </c>
      <c r="B80" t="s">
        <v>14</v>
      </c>
      <c r="C80" t="s">
        <v>91</v>
      </c>
      <c r="D80" t="s">
        <v>1342</v>
      </c>
      <c r="E80" s="1" t="s">
        <v>1343</v>
      </c>
      <c r="F80">
        <v>0</v>
      </c>
    </row>
    <row r="81" spans="1:7" s="22" customFormat="1">
      <c r="A81" s="22" t="s">
        <v>16</v>
      </c>
      <c r="B81" s="22" t="s">
        <v>16</v>
      </c>
      <c r="C81" s="22" t="s">
        <v>906</v>
      </c>
      <c r="D81" s="22" t="s">
        <v>1369</v>
      </c>
      <c r="E81" s="5" t="s">
        <v>1370</v>
      </c>
      <c r="F81" s="34">
        <v>21</v>
      </c>
    </row>
    <row r="82" spans="1:7" s="86" customFormat="1" ht="18.75">
      <c r="A82" s="135"/>
      <c r="B82" s="136"/>
      <c r="C82" s="136"/>
      <c r="D82" s="136"/>
      <c r="E82" s="135" t="s">
        <v>1398</v>
      </c>
    </row>
    <row r="83" spans="1:7" s="22" customFormat="1" ht="30">
      <c r="A83" s="22" t="s">
        <v>16</v>
      </c>
      <c r="B83" s="22" t="s">
        <v>16</v>
      </c>
      <c r="C83" s="22" t="s">
        <v>906</v>
      </c>
      <c r="D83" s="22" t="s">
        <v>1376</v>
      </c>
      <c r="E83" s="5" t="s">
        <v>1377</v>
      </c>
      <c r="F83" s="34">
        <f>F85*F86*F87</f>
        <v>0</v>
      </c>
    </row>
    <row r="84" spans="1:7" s="25" customFormat="1" ht="75">
      <c r="E84" s="26" t="s">
        <v>1399</v>
      </c>
      <c r="F84" s="153" t="s">
        <v>1013</v>
      </c>
    </row>
    <row r="85" spans="1:7" s="22" customFormat="1" ht="30">
      <c r="A85" s="22" t="s">
        <v>14</v>
      </c>
      <c r="B85" s="22" t="s">
        <v>16</v>
      </c>
      <c r="C85" s="22" t="s">
        <v>429</v>
      </c>
      <c r="D85" s="22" t="s">
        <v>1400</v>
      </c>
      <c r="E85" s="5" t="s">
        <v>1401</v>
      </c>
      <c r="F85" s="49">
        <f>IF(AND(F84="Option 1"),0.15,IF(AND(F84="Option 2"),0.35))</f>
        <v>0.15</v>
      </c>
      <c r="G85" s="5" t="s">
        <v>1402</v>
      </c>
    </row>
    <row r="86" spans="1:7" ht="30">
      <c r="A86" t="s">
        <v>14</v>
      </c>
      <c r="B86" t="s">
        <v>14</v>
      </c>
      <c r="C86" t="s">
        <v>91</v>
      </c>
      <c r="D86" t="s">
        <v>1342</v>
      </c>
      <c r="E86" s="1" t="s">
        <v>1354</v>
      </c>
      <c r="F86">
        <v>0</v>
      </c>
    </row>
    <row r="87" spans="1:7" s="22" customFormat="1">
      <c r="A87" s="22" t="s">
        <v>16</v>
      </c>
      <c r="B87" s="22" t="s">
        <v>16</v>
      </c>
      <c r="C87" s="22" t="s">
        <v>906</v>
      </c>
      <c r="D87" s="22" t="s">
        <v>1369</v>
      </c>
      <c r="E87" s="5" t="s">
        <v>1403</v>
      </c>
      <c r="F87" s="34">
        <f>21</f>
        <v>21</v>
      </c>
    </row>
    <row r="88" spans="1:7" s="86" customFormat="1" ht="18.75">
      <c r="A88" s="135"/>
      <c r="B88" s="136"/>
      <c r="C88" s="136"/>
      <c r="D88" s="136"/>
      <c r="E88" s="135" t="s">
        <v>1404</v>
      </c>
    </row>
    <row r="89" spans="1:7" s="22" customFormat="1" ht="30">
      <c r="A89" s="22" t="s">
        <v>16</v>
      </c>
      <c r="B89" s="22" t="s">
        <v>16</v>
      </c>
      <c r="C89" s="22" t="s">
        <v>906</v>
      </c>
      <c r="D89" s="22" t="s">
        <v>1376</v>
      </c>
      <c r="E89" s="5" t="s">
        <v>1377</v>
      </c>
      <c r="F89" s="34">
        <f>'Tool 04-SWDS-Yearly'!C86</f>
        <v>34.183359991239271</v>
      </c>
      <c r="G89" s="22" t="s">
        <v>1405</v>
      </c>
    </row>
  </sheetData>
  <dataValidations count="9">
    <dataValidation type="list" allowBlank="1" showInputMessage="1" showErrorMessage="1" sqref="F84" xr:uid="{E44F34E5-152F-4E5D-B719-08AB3D921357}">
      <formula1>"Option 1,Option 2"</formula1>
    </dataValidation>
    <dataValidation type="list" allowBlank="1" showInputMessage="1" showErrorMessage="1" sqref="F78" xr:uid="{A47EC2D5-26D7-4A44-A09A-49B00AE4D847}">
      <formula1>"Option 1,Option 2,Option 3,Option 4"</formula1>
    </dataValidation>
    <dataValidation type="list" allowBlank="1" showInputMessage="1" showErrorMessage="1" sqref="F73" xr:uid="{9D93488B-9A7E-4155-A489-A059EEDBAC4C}">
      <formula1>"≥ 2 m, &lt; 2 m and ≥ 1 m, &lt; 1 m"</formula1>
    </dataValidation>
    <dataValidation type="list" allowBlank="1" showInputMessage="1" showErrorMessage="1" sqref="F59" xr:uid="{7B5AAA05-60BA-4892-A10D-519A3B45FEE9}">
      <formula1>"Option A,Option B,Option C,Option D"</formula1>
    </dataValidation>
    <dataValidation type="list" allowBlank="1" showInputMessage="1" showErrorMessage="1" sqref="F51" xr:uid="{8FCDBDD5-6D8C-4443-85A4-6505080D525C}">
      <formula1>"Option A,Option B,Option C,Option D,Option E"</formula1>
    </dataValidation>
    <dataValidation type="list" allowBlank="1" showInputMessage="1" showErrorMessage="1" sqref="F10" xr:uid="{A4E56BD8-49F6-495A-BAA5-7FB8A395A0DA}">
      <formula1>"Option 1,Option 2,Option 3"</formula1>
    </dataValidation>
    <dataValidation type="list" allowBlank="1" showInputMessage="1" showErrorMessage="1" sqref="F6:F7" xr:uid="{63E730EA-2D4F-46D6-956F-EFD9AC9B0CC5}">
      <formula1>"Yes,No"</formula1>
    </dataValidation>
    <dataValidation type="list" allowBlank="1" showInputMessage="1" showErrorMessage="1" sqref="F4 F8 F11" xr:uid="{CD79C00F-E27B-4DAD-87EB-08724F2EF78D}">
      <formula1>"Default Values,Monitored Data"</formula1>
    </dataValidation>
    <dataValidation type="list" allowBlank="1" showInputMessage="1" showErrorMessage="1" sqref="F3" xr:uid="{911CFE4A-D8B8-484E-8586-1F3D608E03E2}">
      <formula1>"Small-scale,Large-scale"</formula1>
    </dataValidation>
  </dataValidation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1619A-2B8B-4DA2-A093-7C4B57F19078}">
  <dimension ref="A1:H137"/>
  <sheetViews>
    <sheetView topLeftCell="A115" workbookViewId="0">
      <selection activeCell="C90" sqref="C90"/>
    </sheetView>
  </sheetViews>
  <sheetFormatPr defaultRowHeight="15"/>
  <cols>
    <col min="1" max="1" width="28.140625" customWidth="1"/>
    <col min="2" max="2" width="97.28515625" style="1" customWidth="1"/>
    <col min="3" max="3" width="28.140625" customWidth="1"/>
    <col min="5" max="5" width="11.7109375" customWidth="1"/>
    <col min="6" max="6" width="8.85546875" customWidth="1"/>
    <col min="7" max="7" width="14.7109375" customWidth="1"/>
    <col min="9" max="9" width="11" bestFit="1" customWidth="1"/>
  </cols>
  <sheetData>
    <row r="1" spans="2:8">
      <c r="C1" t="s">
        <v>363</v>
      </c>
      <c r="D1" t="s">
        <v>4</v>
      </c>
      <c r="E1" t="s">
        <v>7</v>
      </c>
      <c r="F1" t="s">
        <v>364</v>
      </c>
      <c r="G1" t="s">
        <v>361</v>
      </c>
      <c r="H1" t="s">
        <v>9</v>
      </c>
    </row>
    <row r="2" spans="2:8" s="86" customFormat="1" ht="18.75">
      <c r="B2" s="9" t="s">
        <v>432</v>
      </c>
    </row>
    <row r="3" spans="2:8">
      <c r="B3" s="1" t="s">
        <v>1406</v>
      </c>
      <c r="C3" t="s">
        <v>1407</v>
      </c>
      <c r="D3" t="s">
        <v>14</v>
      </c>
      <c r="E3" t="s">
        <v>187</v>
      </c>
      <c r="G3" t="s">
        <v>1097</v>
      </c>
    </row>
    <row r="4" spans="2:8" ht="30">
      <c r="B4" s="1" t="s">
        <v>1408</v>
      </c>
      <c r="C4" t="s">
        <v>14</v>
      </c>
      <c r="D4" t="s">
        <v>14</v>
      </c>
      <c r="E4" t="s">
        <v>187</v>
      </c>
      <c r="G4" t="s">
        <v>1097</v>
      </c>
    </row>
    <row r="5" spans="2:8">
      <c r="B5" s="1" t="s">
        <v>1409</v>
      </c>
      <c r="C5" t="s">
        <v>14</v>
      </c>
      <c r="D5" t="s">
        <v>14</v>
      </c>
      <c r="E5" t="s">
        <v>187</v>
      </c>
      <c r="G5" t="s">
        <v>1097</v>
      </c>
    </row>
    <row r="6" spans="2:8">
      <c r="B6" s="1" t="s">
        <v>1410</v>
      </c>
      <c r="C6" t="s">
        <v>16</v>
      </c>
      <c r="D6" t="str">
        <f>IF(C5="Yes","Yes","NA")</f>
        <v>Yes</v>
      </c>
      <c r="E6" t="s">
        <v>187</v>
      </c>
      <c r="G6" t="s">
        <v>1097</v>
      </c>
    </row>
    <row r="7" spans="2:8">
      <c r="B7" s="1" t="s">
        <v>1411</v>
      </c>
      <c r="C7" t="s">
        <v>16</v>
      </c>
      <c r="D7" t="str">
        <f>IF(C5="Yes","Yes","NA")</f>
        <v>Yes</v>
      </c>
      <c r="E7" t="s">
        <v>187</v>
      </c>
      <c r="G7" t="s">
        <v>1097</v>
      </c>
    </row>
    <row r="8" spans="2:8">
      <c r="B8" s="1" t="s">
        <v>1412</v>
      </c>
      <c r="C8" t="s">
        <v>16</v>
      </c>
      <c r="D8" t="str">
        <f>IF(C5="Yes","Yes","NA")</f>
        <v>Yes</v>
      </c>
      <c r="E8" t="s">
        <v>187</v>
      </c>
      <c r="G8" t="s">
        <v>1097</v>
      </c>
    </row>
    <row r="9" spans="2:8">
      <c r="B9" s="1" t="s">
        <v>1413</v>
      </c>
      <c r="C9" t="s">
        <v>16</v>
      </c>
      <c r="D9" t="str">
        <f>IF(C5="Yes","Yes","NA")</f>
        <v>Yes</v>
      </c>
      <c r="E9" t="s">
        <v>187</v>
      </c>
      <c r="G9" t="s">
        <v>1097</v>
      </c>
    </row>
    <row r="10" spans="2:8">
      <c r="B10" s="1" t="s">
        <v>1414</v>
      </c>
      <c r="C10" t="s">
        <v>16</v>
      </c>
      <c r="D10" t="str">
        <f>IF(C5="Yes","Yes","NA")</f>
        <v>Yes</v>
      </c>
      <c r="E10" t="s">
        <v>187</v>
      </c>
      <c r="G10" t="s">
        <v>1097</v>
      </c>
    </row>
    <row r="11" spans="2:8">
      <c r="B11" s="1" t="s">
        <v>1415</v>
      </c>
      <c r="C11" t="s">
        <v>14</v>
      </c>
      <c r="D11" t="str">
        <f>IF(C5="Yes","Yes","NA")</f>
        <v>Yes</v>
      </c>
      <c r="E11" t="s">
        <v>187</v>
      </c>
      <c r="G11" t="s">
        <v>1097</v>
      </c>
    </row>
    <row r="12" spans="2:8" ht="30">
      <c r="B12" s="1" t="s">
        <v>1416</v>
      </c>
      <c r="C12" t="s">
        <v>14</v>
      </c>
      <c r="D12" t="str">
        <f>IF(AND(C5="Yes",C11="Yes"),"Yes","NA")</f>
        <v>Yes</v>
      </c>
      <c r="E12" t="s">
        <v>187</v>
      </c>
      <c r="G12" t="s">
        <v>1097</v>
      </c>
    </row>
    <row r="13" spans="2:8" ht="30">
      <c r="B13" s="1" t="s">
        <v>1417</v>
      </c>
      <c r="D13" t="str">
        <f>IF(AND(C5="Yes",C11="Yes"),"Yes","NA")</f>
        <v>Yes</v>
      </c>
      <c r="E13" t="s">
        <v>1418</v>
      </c>
      <c r="G13" t="s">
        <v>1097</v>
      </c>
    </row>
    <row r="14" spans="2:8" ht="60">
      <c r="B14" s="1" t="s">
        <v>1419</v>
      </c>
      <c r="C14" s="22" t="s">
        <v>14</v>
      </c>
      <c r="D14" t="str">
        <f>IF(AND(C5="Yes",C11="Yes"),"Yes","NA")</f>
        <v>Yes</v>
      </c>
      <c r="E14" t="s">
        <v>243</v>
      </c>
      <c r="G14" t="s">
        <v>1097</v>
      </c>
    </row>
    <row r="15" spans="2:8" ht="45">
      <c r="B15" s="1" t="s">
        <v>1420</v>
      </c>
      <c r="C15" t="s">
        <v>14</v>
      </c>
      <c r="D15" t="str">
        <f>IF(AND(C5="Yes",C11="Yes"),"Yes","NA")</f>
        <v>Yes</v>
      </c>
      <c r="E15" t="s">
        <v>187</v>
      </c>
      <c r="G15" t="s">
        <v>1097</v>
      </c>
    </row>
    <row r="16" spans="2:8" ht="30.75" thickBot="1">
      <c r="B16" s="1" t="s">
        <v>1421</v>
      </c>
      <c r="D16" t="str">
        <f>IF(AND(C5="Yes",C11="Yes"),"Yes","NA")</f>
        <v>Yes</v>
      </c>
      <c r="E16" t="s">
        <v>1422</v>
      </c>
      <c r="G16" t="s">
        <v>14</v>
      </c>
    </row>
    <row r="17" spans="2:7" s="27" customFormat="1" ht="16.5" thickTop="1" thickBot="1">
      <c r="B17" s="3" t="s">
        <v>101</v>
      </c>
      <c r="C17" s="84" t="str">
        <f>IF(AND(C4="No",C5="No"),"NA",IF(OR(C6="Yes",C7="Yes",C8="Yes",C9="Yes",C10="Yes",C12="No",C14="No",C15="No"),"NA","Applicable"))</f>
        <v>Applicable</v>
      </c>
      <c r="E17" s="27" t="s">
        <v>1423</v>
      </c>
    </row>
    <row r="18" spans="2:7" s="81" customFormat="1" ht="15.75" thickTop="1">
      <c r="B18" s="83" t="s">
        <v>1424</v>
      </c>
      <c r="C18" s="81" t="s">
        <v>434</v>
      </c>
      <c r="D18" s="81" t="s">
        <v>14</v>
      </c>
      <c r="E18" s="81" t="s">
        <v>187</v>
      </c>
      <c r="G18" s="81" t="s">
        <v>16</v>
      </c>
    </row>
    <row r="19" spans="2:7">
      <c r="B19" s="1" t="s">
        <v>1425</v>
      </c>
      <c r="C19" t="s">
        <v>1426</v>
      </c>
      <c r="D19" t="str">
        <f>IF(C18="Project Emissions (PE)","Yes","NA")</f>
        <v>Yes</v>
      </c>
      <c r="E19" t="s">
        <v>187</v>
      </c>
      <c r="G19" t="s">
        <v>16</v>
      </c>
    </row>
    <row r="20" spans="2:7" ht="15" customHeight="1">
      <c r="B20" s="1" t="s">
        <v>1427</v>
      </c>
      <c r="C20" t="s">
        <v>1428</v>
      </c>
      <c r="D20" t="str">
        <f>IF(AND(C18="Project Emissions (PE)",C19="Included"),"Yes","NA")</f>
        <v>Yes</v>
      </c>
      <c r="E20" t="s">
        <v>187</v>
      </c>
      <c r="G20" t="s">
        <v>16</v>
      </c>
    </row>
    <row r="21" spans="2:7" ht="30">
      <c r="B21" s="1" t="s">
        <v>1429</v>
      </c>
      <c r="C21" t="s">
        <v>1426</v>
      </c>
      <c r="D21" t="str">
        <f>IF(C18="Project Emissions (PE)","Yes","NA")</f>
        <v>Yes</v>
      </c>
      <c r="E21" t="s">
        <v>187</v>
      </c>
      <c r="F21" t="s">
        <v>1430</v>
      </c>
      <c r="G21" t="s">
        <v>16</v>
      </c>
    </row>
    <row r="22" spans="2:7">
      <c r="B22" s="1" t="s">
        <v>1431</v>
      </c>
      <c r="C22" t="s">
        <v>1426</v>
      </c>
      <c r="D22" t="str">
        <f>IF(C18="Project Emissions (PE)","Yes","NA")</f>
        <v>Yes</v>
      </c>
      <c r="E22" t="s">
        <v>187</v>
      </c>
      <c r="G22" t="s">
        <v>16</v>
      </c>
    </row>
    <row r="23" spans="2:7" ht="30">
      <c r="B23" s="1" t="s">
        <v>1432</v>
      </c>
      <c r="C23" t="s">
        <v>1426</v>
      </c>
      <c r="D23" t="str">
        <f>IF(C18="Project Emissions (PE)","Yes","NA")</f>
        <v>Yes</v>
      </c>
      <c r="E23" t="s">
        <v>187</v>
      </c>
      <c r="G23" t="s">
        <v>16</v>
      </c>
    </row>
    <row r="24" spans="2:7">
      <c r="B24" s="1" t="s">
        <v>1433</v>
      </c>
      <c r="C24" t="s">
        <v>1426</v>
      </c>
      <c r="D24" t="str">
        <f>IF(C18="Project Emissions (PE)","Yes","NA")</f>
        <v>Yes</v>
      </c>
      <c r="E24" t="s">
        <v>187</v>
      </c>
      <c r="G24" t="s">
        <v>16</v>
      </c>
    </row>
    <row r="25" spans="2:7">
      <c r="B25" s="1" t="s">
        <v>1434</v>
      </c>
      <c r="C25" t="s">
        <v>1426</v>
      </c>
      <c r="D25" t="str">
        <f>IF(C18="Project Emissions (PE)","Yes","NA")</f>
        <v>Yes</v>
      </c>
      <c r="E25" t="s">
        <v>187</v>
      </c>
      <c r="G25" t="s">
        <v>16</v>
      </c>
    </row>
    <row r="26" spans="2:7" ht="45" customHeight="1">
      <c r="B26" s="1" t="s">
        <v>1435</v>
      </c>
      <c r="C26" t="s">
        <v>14</v>
      </c>
      <c r="D26" t="str">
        <f>IF(OR(C24="Included",C25="Included"),"Yes","NA")</f>
        <v>Yes</v>
      </c>
      <c r="E26" t="s">
        <v>187</v>
      </c>
      <c r="G26" t="s">
        <v>16</v>
      </c>
    </row>
    <row r="27" spans="2:7" ht="30">
      <c r="B27" s="1" t="s">
        <v>1436</v>
      </c>
      <c r="C27" t="s">
        <v>1426</v>
      </c>
      <c r="D27" t="str">
        <f>IF(C18="Leakage Emissions (LE)","Yes","NA")</f>
        <v>NA</v>
      </c>
      <c r="E27" t="s">
        <v>187</v>
      </c>
      <c r="G27" t="s">
        <v>16</v>
      </c>
    </row>
    <row r="28" spans="2:7" ht="30.6" customHeight="1">
      <c r="B28" s="1" t="s">
        <v>1437</v>
      </c>
      <c r="C28" t="s">
        <v>16</v>
      </c>
      <c r="D28" t="str">
        <f>IF(C27="Included","Yes","NA")</f>
        <v>Yes</v>
      </c>
      <c r="E28" t="s">
        <v>187</v>
      </c>
      <c r="G28" t="s">
        <v>16</v>
      </c>
    </row>
    <row r="29" spans="2:7" ht="43.9" customHeight="1">
      <c r="B29" s="1" t="s">
        <v>1438</v>
      </c>
      <c r="C29" t="s">
        <v>16</v>
      </c>
      <c r="D29" t="str">
        <f>IF(C27="Included","Yes","NA")</f>
        <v>Yes</v>
      </c>
      <c r="E29" t="s">
        <v>187</v>
      </c>
      <c r="F29" t="s">
        <v>1439</v>
      </c>
      <c r="G29" t="s">
        <v>16</v>
      </c>
    </row>
    <row r="30" spans="2:7" ht="30">
      <c r="B30" s="1" t="s">
        <v>1440</v>
      </c>
      <c r="C30" t="s">
        <v>1426</v>
      </c>
      <c r="D30" t="str">
        <f>IF(C18="Leakage Emissions (LE)","Yes","NA")</f>
        <v>NA</v>
      </c>
      <c r="E30" t="s">
        <v>187</v>
      </c>
      <c r="G30" t="s">
        <v>16</v>
      </c>
    </row>
    <row r="31" spans="2:7">
      <c r="B31" s="1" t="s">
        <v>1441</v>
      </c>
      <c r="C31" t="s">
        <v>1442</v>
      </c>
      <c r="D31" t="str">
        <f>IF(C30="Included","Yes","NA")</f>
        <v>Yes</v>
      </c>
      <c r="E31" t="s">
        <v>187</v>
      </c>
      <c r="G31" t="s">
        <v>16</v>
      </c>
    </row>
    <row r="32" spans="2:7" ht="30">
      <c r="B32" s="1" t="s">
        <v>1443</v>
      </c>
      <c r="C32" t="s">
        <v>1444</v>
      </c>
      <c r="D32" t="str">
        <f>IF(C18="Leakage Emissions (LE)","Yes","NA")</f>
        <v>NA</v>
      </c>
      <c r="E32" t="s">
        <v>187</v>
      </c>
      <c r="G32" t="s">
        <v>16</v>
      </c>
    </row>
    <row r="33" spans="1:7" ht="30">
      <c r="B33" s="1" t="s">
        <v>1445</v>
      </c>
      <c r="C33" t="s">
        <v>1444</v>
      </c>
      <c r="D33" t="str">
        <f>IF(C18="Leakage Emissions (LE)","Yes","NA")</f>
        <v>NA</v>
      </c>
      <c r="E33" t="s">
        <v>187</v>
      </c>
      <c r="G33" t="s">
        <v>16</v>
      </c>
    </row>
    <row r="34" spans="1:7" s="10" customFormat="1" ht="37.5">
      <c r="A34" s="10" t="s">
        <v>1446</v>
      </c>
      <c r="B34" s="9" t="s">
        <v>1447</v>
      </c>
      <c r="D34" s="10" t="str">
        <f>IF(AND(C18="Project Emissions (PE)",C19="Included"),"Yes","NA")</f>
        <v>Yes</v>
      </c>
    </row>
    <row r="35" spans="1:7" ht="15" customHeight="1">
      <c r="A35" t="s">
        <v>1448</v>
      </c>
      <c r="B35" s="1" t="s">
        <v>1449</v>
      </c>
      <c r="C35">
        <v>4.9000000000000004</v>
      </c>
      <c r="D35" t="str">
        <f>IF(AND(C18="Project Emissions (PE)",C19="Included"),"Yes","NA")</f>
        <v>Yes</v>
      </c>
      <c r="E35" t="s">
        <v>91</v>
      </c>
      <c r="G35" t="s">
        <v>1097</v>
      </c>
    </row>
    <row r="36" spans="1:7" ht="15" customHeight="1">
      <c r="A36" t="s">
        <v>1450</v>
      </c>
      <c r="B36" s="1" t="s">
        <v>1451</v>
      </c>
      <c r="C36">
        <v>14</v>
      </c>
      <c r="D36" t="str">
        <f>IF(AND(C18="Project Emissions (PE)",C19="Included"),"Yes","NA")</f>
        <v>Yes</v>
      </c>
      <c r="E36" t="s">
        <v>91</v>
      </c>
      <c r="G36" t="s">
        <v>1097</v>
      </c>
    </row>
    <row r="37" spans="1:7" ht="26.45" customHeight="1">
      <c r="A37" t="s">
        <v>1452</v>
      </c>
      <c r="B37" s="1" t="s">
        <v>1453</v>
      </c>
      <c r="C37" s="171">
        <v>0.2</v>
      </c>
      <c r="D37" t="str">
        <f>IF(AND(C18="Project Emissions (PE)",C19="Included"),"Yes","NA")</f>
        <v>Yes</v>
      </c>
      <c r="E37" t="s">
        <v>91</v>
      </c>
      <c r="G37" t="s">
        <v>1097</v>
      </c>
    </row>
    <row r="38" spans="1:7">
      <c r="A38" t="s">
        <v>1454</v>
      </c>
      <c r="B38" s="1" t="s">
        <v>1455</v>
      </c>
      <c r="C38" s="22">
        <f>((44/12)*0.47*C35*C36*(1.06+C37))+SUM(C39)</f>
        <v>148.95803999999998</v>
      </c>
      <c r="D38" t="str">
        <f>IF(AND(C18="Project Emissions (PE)",C19="Included"),"Yes","NA")</f>
        <v>Yes</v>
      </c>
      <c r="E38" t="s">
        <v>1423</v>
      </c>
      <c r="G38" t="s">
        <v>1097</v>
      </c>
    </row>
    <row r="39" spans="1:7">
      <c r="B39" s="24" t="s">
        <v>1456</v>
      </c>
      <c r="F39" t="s">
        <v>1457</v>
      </c>
      <c r="G39" t="s">
        <v>14</v>
      </c>
    </row>
    <row r="40" spans="1:7" s="13" customFormat="1" ht="28.9" customHeight="1">
      <c r="A40" s="13" t="s">
        <v>1458</v>
      </c>
      <c r="B40" s="12" t="s">
        <v>1459</v>
      </c>
      <c r="D40" s="13" t="str">
        <f>IF(AND(C18="Project Emissions (PE)",C19="Included",C21="Included"),"Yes","NA")</f>
        <v>Yes</v>
      </c>
    </row>
    <row r="41" spans="1:7" ht="30.6" customHeight="1">
      <c r="A41" t="s">
        <v>1460</v>
      </c>
      <c r="B41" s="1" t="s">
        <v>1461</v>
      </c>
      <c r="C41" s="22">
        <f>'Tool 05.1'!G6</f>
        <v>0.73499999999999999</v>
      </c>
      <c r="D41" t="str">
        <f>IF(AND(C18="Project Emissions (PE)",C19="Included",C21="Included"),"Yes","NA")</f>
        <v>Yes</v>
      </c>
      <c r="E41" t="s">
        <v>1462</v>
      </c>
      <c r="G41" t="s">
        <v>1097</v>
      </c>
    </row>
    <row r="42" spans="1:7" ht="29.45" customHeight="1">
      <c r="A42" t="s">
        <v>1463</v>
      </c>
      <c r="B42" s="1" t="s">
        <v>1464</v>
      </c>
      <c r="C42" s="22">
        <f>'(Revised) Tool 03'!G3</f>
        <v>73.333333333333329</v>
      </c>
      <c r="D42" t="str">
        <f>IF(AND(C18="Project Emissions (PE)",C19="Included",C21="Included"),"Yes","NA")</f>
        <v>Yes</v>
      </c>
      <c r="E42" t="s">
        <v>1462</v>
      </c>
      <c r="G42" t="s">
        <v>1097</v>
      </c>
    </row>
    <row r="43" spans="1:7" ht="30">
      <c r="A43" t="s">
        <v>1458</v>
      </c>
      <c r="B43" s="1" t="s">
        <v>1459</v>
      </c>
      <c r="C43" s="22">
        <f>C41+C42</f>
        <v>74.068333333333328</v>
      </c>
      <c r="D43" t="str">
        <f>IF(AND(C18="Project Emissions (PE)",C19="Included",C21="Included"),"Yes","NA")</f>
        <v>Yes</v>
      </c>
      <c r="E43" t="s">
        <v>1423</v>
      </c>
      <c r="G43" t="s">
        <v>1097</v>
      </c>
    </row>
    <row r="44" spans="1:7" s="13" customFormat="1" ht="15" customHeight="1">
      <c r="A44" s="13" t="s">
        <v>1465</v>
      </c>
      <c r="B44" s="12" t="s">
        <v>1466</v>
      </c>
      <c r="D44" s="13" t="str">
        <f>IF(AND(C18="Project Emissions (PE)",C19="Included"),"Yes","NA")</f>
        <v>Yes</v>
      </c>
    </row>
    <row r="45" spans="1:7" ht="15" customHeight="1">
      <c r="A45" t="s">
        <v>1467</v>
      </c>
      <c r="B45" s="1" t="s">
        <v>1468</v>
      </c>
      <c r="C45">
        <v>5</v>
      </c>
      <c r="D45" t="str">
        <f>IF(AND(C18="Project Emissions (PE)",C19="Included"),"Yes","NA")</f>
        <v>Yes</v>
      </c>
      <c r="E45" t="s">
        <v>91</v>
      </c>
      <c r="G45" t="s">
        <v>1097</v>
      </c>
    </row>
    <row r="46" spans="1:7" ht="15" customHeight="1">
      <c r="A46" t="s">
        <v>1469</v>
      </c>
      <c r="B46" s="1" t="s">
        <v>1470</v>
      </c>
      <c r="C46">
        <v>44</v>
      </c>
      <c r="D46" t="str">
        <f>IF(AND(C18="Project Emissions (PE)",C19="Included"),"Yes","NA")</f>
        <v>Yes</v>
      </c>
      <c r="E46" t="s">
        <v>91</v>
      </c>
      <c r="G46" t="s">
        <v>1097</v>
      </c>
    </row>
    <row r="47" spans="1:7" ht="30.6" customHeight="1">
      <c r="A47" t="s">
        <v>1471</v>
      </c>
      <c r="B47" s="1" t="s">
        <v>1472</v>
      </c>
      <c r="C47" s="22">
        <f>IF(C20="Limestone",0.12,IF(C20="Dolomite",0.13,IF(C20="Urea",0.2)))</f>
        <v>0.2</v>
      </c>
      <c r="D47" t="str">
        <f>IF(AND(C18="Project Emissions (PE)",C19="Included"),"Yes","NA")</f>
        <v>Yes</v>
      </c>
      <c r="E47" t="s">
        <v>1423</v>
      </c>
      <c r="F47" t="s">
        <v>1473</v>
      </c>
      <c r="G47" t="s">
        <v>1097</v>
      </c>
    </row>
    <row r="48" spans="1:7">
      <c r="A48" t="s">
        <v>1465</v>
      </c>
      <c r="B48" s="1" t="s">
        <v>1466</v>
      </c>
      <c r="C48" s="22">
        <f>(C45*C46*C47)+SUM(C49)</f>
        <v>44</v>
      </c>
      <c r="D48" t="str">
        <f>IF(AND(C18="Project Emissions (PE)",C19="Included"),"Yes","NA")</f>
        <v>Yes</v>
      </c>
      <c r="E48" t="s">
        <v>1423</v>
      </c>
      <c r="G48" t="s">
        <v>1097</v>
      </c>
    </row>
    <row r="49" spans="1:7">
      <c r="B49" s="24" t="s">
        <v>1456</v>
      </c>
      <c r="F49" t="s">
        <v>1474</v>
      </c>
      <c r="G49" t="s">
        <v>14</v>
      </c>
    </row>
    <row r="50" spans="1:7" s="86" customFormat="1" ht="15" customHeight="1">
      <c r="A50" s="13" t="s">
        <v>1475</v>
      </c>
      <c r="B50" s="12" t="s">
        <v>1476</v>
      </c>
      <c r="D50" s="86" t="str">
        <f>IF(C20="NA","No",IF(AND(C18="Project Emissions (PE)",C19="Included"),"Yes","NA"))</f>
        <v>Yes</v>
      </c>
    </row>
    <row r="51" spans="1:7" ht="15" customHeight="1">
      <c r="A51" t="s">
        <v>1477</v>
      </c>
      <c r="B51" s="1" t="s">
        <v>1478</v>
      </c>
      <c r="C51">
        <v>0.6</v>
      </c>
      <c r="D51" t="str">
        <f>IF(C20="NA","No",IF(AND(C18="Project Emissions (PE)",C19="Included"),"Yes","NA"))</f>
        <v>Yes</v>
      </c>
      <c r="E51" t="s">
        <v>91</v>
      </c>
      <c r="G51" t="s">
        <v>1097</v>
      </c>
    </row>
    <row r="52" spans="1:7" ht="15" customHeight="1" thickBot="1">
      <c r="A52" t="s">
        <v>1479</v>
      </c>
      <c r="B52" s="1" t="s">
        <v>1480</v>
      </c>
      <c r="C52">
        <v>12</v>
      </c>
      <c r="D52" t="str">
        <f>IF(C20="NA","No",IF(AND(C18="Project Emissions (PE)",C19="Included"),"Yes","NA"))</f>
        <v>Yes</v>
      </c>
      <c r="E52" t="s">
        <v>91</v>
      </c>
      <c r="G52" t="s">
        <v>1097</v>
      </c>
    </row>
    <row r="53" spans="1:7" ht="28.9" customHeight="1" thickBot="1">
      <c r="A53" t="s">
        <v>1481</v>
      </c>
      <c r="B53" s="1" t="s">
        <v>1482</v>
      </c>
      <c r="C53" s="77">
        <v>11.29</v>
      </c>
      <c r="D53" t="str">
        <f>IF(C20="NA","No",IF(AND(C18="Project Emissions (PE)",C19="Included"),"Yes","NA"))</f>
        <v>Yes</v>
      </c>
      <c r="E53" t="s">
        <v>1483</v>
      </c>
      <c r="F53" t="s">
        <v>1484</v>
      </c>
      <c r="G53" t="s">
        <v>1097</v>
      </c>
    </row>
    <row r="54" spans="1:7">
      <c r="A54" t="s">
        <v>1475</v>
      </c>
      <c r="B54" s="1" t="s">
        <v>1476</v>
      </c>
      <c r="C54" s="22">
        <f>C51*C52*C53</f>
        <v>81.287999999999982</v>
      </c>
      <c r="D54" t="str">
        <f>IF(C20="NA","No",IF(AND(C18="Project Emissions (PE)",C19="Included"),"Yes","NA"))</f>
        <v>Yes</v>
      </c>
      <c r="E54" t="s">
        <v>1423</v>
      </c>
      <c r="G54" t="s">
        <v>1097</v>
      </c>
    </row>
    <row r="55" spans="1:7" s="13" customFormat="1">
      <c r="A55" s="13" t="s">
        <v>1485</v>
      </c>
      <c r="B55" s="12" t="s">
        <v>1486</v>
      </c>
      <c r="D55" s="13" t="str">
        <f>IF(AND(C18="Project Emissions (PE)",C19="Included"),"Yes","NA")</f>
        <v>Yes</v>
      </c>
    </row>
    <row r="56" spans="1:7">
      <c r="A56" t="s">
        <v>1485</v>
      </c>
      <c r="B56" s="1" t="s">
        <v>1487</v>
      </c>
      <c r="C56" s="22">
        <f>C54+C48</f>
        <v>125.28799999999998</v>
      </c>
      <c r="D56" t="str">
        <f>IF(AND(C18="Project Emissions (PE)",C19="Included"),"Yes","NA")</f>
        <v>Yes</v>
      </c>
      <c r="E56" t="s">
        <v>1423</v>
      </c>
      <c r="G56" t="s">
        <v>16</v>
      </c>
    </row>
    <row r="57" spans="1:7" s="13" customFormat="1">
      <c r="A57" s="13" t="s">
        <v>1488</v>
      </c>
      <c r="B57" s="12" t="s">
        <v>1489</v>
      </c>
      <c r="D57" s="13" t="str">
        <f>IF(AND(C18="Project Emissions (PE)",C19="Included"),"Yes","NA")</f>
        <v>Yes</v>
      </c>
    </row>
    <row r="58" spans="1:7">
      <c r="A58" t="s">
        <v>1490</v>
      </c>
      <c r="B58" s="1" t="s">
        <v>1491</v>
      </c>
      <c r="C58">
        <v>12</v>
      </c>
      <c r="D58" t="str">
        <f>IF(AND(C18="Project Emissions (PE)",C19="Included"),"Yes","NA")</f>
        <v>Yes</v>
      </c>
      <c r="E58" t="s">
        <v>91</v>
      </c>
      <c r="G58" t="s">
        <v>1097</v>
      </c>
    </row>
    <row r="59" spans="1:7">
      <c r="A59" t="s">
        <v>1492</v>
      </c>
      <c r="B59" s="1" t="s">
        <v>1493</v>
      </c>
      <c r="C59">
        <v>33</v>
      </c>
      <c r="D59" t="str">
        <f>IF(AND(C18="Project Emissions (PE)",C19="Included"),"Yes","NA")</f>
        <v>Yes</v>
      </c>
      <c r="E59" t="s">
        <v>91</v>
      </c>
      <c r="F59" t="s">
        <v>1494</v>
      </c>
      <c r="G59" t="s">
        <v>1097</v>
      </c>
    </row>
    <row r="60" spans="1:7">
      <c r="A60" t="s">
        <v>1495</v>
      </c>
      <c r="B60" s="1" t="s">
        <v>1496</v>
      </c>
      <c r="C60">
        <v>0.77</v>
      </c>
      <c r="D60" t="str">
        <f>IF(AND(C18="Project Emissions (PE)",C19="Included"),"Yes","NA")</f>
        <v>Yes</v>
      </c>
      <c r="E60" t="s">
        <v>91</v>
      </c>
      <c r="F60" t="s">
        <v>1497</v>
      </c>
      <c r="G60" t="s">
        <v>1097</v>
      </c>
    </row>
    <row r="61" spans="1:7">
      <c r="A61" t="s">
        <v>1498</v>
      </c>
      <c r="B61" s="1" t="s">
        <v>1499</v>
      </c>
      <c r="C61">
        <v>0.59</v>
      </c>
      <c r="D61" t="str">
        <f>IF(AND(C18="Project Emissions (PE)",C19="Included"),"Yes","NA")</f>
        <v>Yes</v>
      </c>
      <c r="E61" t="s">
        <v>91</v>
      </c>
      <c r="F61" t="s">
        <v>1500</v>
      </c>
      <c r="G61" t="s">
        <v>1097</v>
      </c>
    </row>
    <row r="62" spans="1:7">
      <c r="A62" t="s">
        <v>1501</v>
      </c>
      <c r="B62" s="1" t="s">
        <v>1502</v>
      </c>
      <c r="C62">
        <v>0.63</v>
      </c>
      <c r="D62" t="str">
        <f>IF(AND(C18="Project Emissions (PE)",C19="Included"),"Yes","NA")</f>
        <v>Yes</v>
      </c>
      <c r="E62" t="s">
        <v>91</v>
      </c>
      <c r="F62" t="s">
        <v>1497</v>
      </c>
      <c r="G62" t="s">
        <v>1097</v>
      </c>
    </row>
    <row r="63" spans="1:7">
      <c r="A63" t="s">
        <v>1503</v>
      </c>
      <c r="B63" s="1" t="s">
        <v>1504</v>
      </c>
      <c r="C63">
        <v>0.88</v>
      </c>
      <c r="D63" t="str">
        <f>IF(AND(C18="Project Emissions (PE)",C19="Included"),"Yes","NA")</f>
        <v>Yes</v>
      </c>
      <c r="E63" t="s">
        <v>91</v>
      </c>
      <c r="F63" t="s">
        <v>1500</v>
      </c>
      <c r="G63" t="s">
        <v>1097</v>
      </c>
    </row>
    <row r="64" spans="1:7">
      <c r="A64" t="s">
        <v>1505</v>
      </c>
      <c r="B64" s="1" t="s">
        <v>1506</v>
      </c>
      <c r="C64">
        <v>1</v>
      </c>
      <c r="D64" t="str">
        <f>IF(AND(C18="Project Emissions (PE)",C19="Included"),"Yes","NA")</f>
        <v>Yes</v>
      </c>
      <c r="E64" t="s">
        <v>91</v>
      </c>
      <c r="F64" t="s">
        <v>1497</v>
      </c>
      <c r="G64" t="s">
        <v>1097</v>
      </c>
    </row>
    <row r="65" spans="1:7">
      <c r="A65" t="s">
        <v>1507</v>
      </c>
      <c r="B65" s="1" t="s">
        <v>1508</v>
      </c>
      <c r="C65">
        <v>0.01</v>
      </c>
      <c r="D65" t="str">
        <f>IF(AND(C18="Project Emissions (PE)",C19="Included"),"Yes","NA")</f>
        <v>Yes</v>
      </c>
      <c r="E65" t="s">
        <v>91</v>
      </c>
      <c r="F65" t="s">
        <v>1500</v>
      </c>
      <c r="G65" t="s">
        <v>1097</v>
      </c>
    </row>
    <row r="66" spans="1:7">
      <c r="A66" t="s">
        <v>1488</v>
      </c>
      <c r="B66" s="1" t="s">
        <v>1489</v>
      </c>
      <c r="C66" s="22">
        <f>1.21*C58*C59*(C60*C61*C62-C63*C64*C65)</f>
        <v>132.92329644</v>
      </c>
      <c r="D66" t="str">
        <f>IF(AND(C18="Project Emissions (PE)",C19="Included"),"Yes","NA")</f>
        <v>Yes</v>
      </c>
      <c r="E66" t="s">
        <v>1423</v>
      </c>
      <c r="F66" t="s">
        <v>1509</v>
      </c>
      <c r="G66" t="s">
        <v>1097</v>
      </c>
    </row>
    <row r="67" spans="1:7">
      <c r="B67" s="24" t="s">
        <v>1456</v>
      </c>
      <c r="F67" t="s">
        <v>1510</v>
      </c>
      <c r="G67" t="s">
        <v>14</v>
      </c>
    </row>
    <row r="68" spans="1:7" s="13" customFormat="1">
      <c r="A68" s="13" t="s">
        <v>1511</v>
      </c>
      <c r="B68" s="12" t="s">
        <v>1512</v>
      </c>
      <c r="D68" s="13" t="str">
        <f>IF(AND(C18="Project Emissions (PE)",C19="Included",C21="Included"),"Yes","NA")</f>
        <v>Yes</v>
      </c>
    </row>
    <row r="69" spans="1:7">
      <c r="A69" t="s">
        <v>1513</v>
      </c>
      <c r="B69" s="1" t="s">
        <v>1514</v>
      </c>
      <c r="C69">
        <v>10</v>
      </c>
      <c r="D69" t="str">
        <f>IF(AND(C18="Project Emissions (PE)",C19="Included",C21="Included"),"Yes","NA")</f>
        <v>Yes</v>
      </c>
      <c r="E69" t="s">
        <v>187</v>
      </c>
      <c r="G69" t="s">
        <v>16</v>
      </c>
    </row>
    <row r="70" spans="1:7" ht="15.75" thickBot="1">
      <c r="A70" t="s">
        <v>1511</v>
      </c>
      <c r="B70" s="1" t="s">
        <v>1512</v>
      </c>
      <c r="C70" s="22">
        <f>MAX((44/12)*(1.179/C69)*SUM(C66:C67),0)</f>
        <v>57.462741051012003</v>
      </c>
      <c r="D70" t="str">
        <f>IF(AND(C18="Project Emissions (PE)",C19="Included"),"Yes","NA")</f>
        <v>Yes</v>
      </c>
      <c r="E70" t="s">
        <v>1423</v>
      </c>
      <c r="F70" t="s">
        <v>1515</v>
      </c>
      <c r="G70" t="s">
        <v>16</v>
      </c>
    </row>
    <row r="71" spans="1:7" s="4" customFormat="1" ht="13.9" customHeight="1" thickTop="1" thickBot="1">
      <c r="A71" s="4" t="s">
        <v>1446</v>
      </c>
      <c r="B71" s="3" t="s">
        <v>1447</v>
      </c>
      <c r="C71" s="76">
        <f>C70+C56+C43+C38</f>
        <v>405.77711438434528</v>
      </c>
      <c r="D71" s="4" t="str">
        <f>IF(AND(C18="Project Emissions (PE)",C19="Included"),"Yes","NA")</f>
        <v>Yes</v>
      </c>
      <c r="E71" s="4" t="s">
        <v>1423</v>
      </c>
      <c r="F71" s="4" t="s">
        <v>1516</v>
      </c>
      <c r="G71" s="4" t="s">
        <v>16</v>
      </c>
    </row>
    <row r="72" spans="1:7" s="10" customFormat="1" ht="39" thickTop="1" thickBot="1">
      <c r="A72" s="10" t="s">
        <v>1517</v>
      </c>
      <c r="B72" s="9" t="s">
        <v>1518</v>
      </c>
      <c r="D72" s="10" t="str">
        <f>IF(OR(C22="Included",C23="Included"),"Yes","NA")</f>
        <v>Yes</v>
      </c>
      <c r="F72" s="10" t="s">
        <v>1519</v>
      </c>
    </row>
    <row r="73" spans="1:7" s="4" customFormat="1" ht="16.5" thickTop="1" thickBot="1">
      <c r="A73" s="4" t="s">
        <v>1520</v>
      </c>
      <c r="B73" s="3" t="s">
        <v>1521</v>
      </c>
      <c r="C73" s="76">
        <f>IF('Tool 12 - Freight Trans'!C12="Option A: Monitoring fuel consumption",'Tool 12 - Freight Trans'!C17,'Tool 12 - Freight Trans'!C21)</f>
        <v>3.0872279999999996</v>
      </c>
      <c r="D73" s="4" t="str">
        <f>IF(C22="Included","Yes","NA")</f>
        <v>Yes</v>
      </c>
      <c r="E73" s="4" t="s">
        <v>1462</v>
      </c>
      <c r="F73" s="4" t="s">
        <v>1522</v>
      </c>
      <c r="G73" s="4" t="s">
        <v>16</v>
      </c>
    </row>
    <row r="74" spans="1:7" s="4" customFormat="1" ht="16.5" thickTop="1" thickBot="1">
      <c r="A74" s="4" t="s">
        <v>1523</v>
      </c>
      <c r="B74" s="3" t="s">
        <v>1524</v>
      </c>
      <c r="C74" s="76">
        <f>IF('Tool 12 - Freight Trans'!C12="Option A: Monitoring fuel consumption",'Tool 12 - Freight Trans'!C17,'Tool 12 - Freight Trans'!C21)</f>
        <v>3.0872279999999996</v>
      </c>
      <c r="D74" s="4" t="str">
        <f>IF(C23="Included","Yes","NA")</f>
        <v>Yes</v>
      </c>
      <c r="E74" s="4" t="s">
        <v>1462</v>
      </c>
      <c r="F74" s="4" t="s">
        <v>1525</v>
      </c>
      <c r="G74" s="4" t="s">
        <v>16</v>
      </c>
    </row>
    <row r="75" spans="1:7" s="10" customFormat="1" ht="38.25" thickTop="1">
      <c r="A75" s="10" t="s">
        <v>1526</v>
      </c>
      <c r="B75" s="9" t="s">
        <v>1527</v>
      </c>
      <c r="D75" s="10" t="str">
        <f>IF(OR(C24="Included",C25="Included"),"Yes","NA")</f>
        <v>Yes</v>
      </c>
    </row>
    <row r="76" spans="1:7" ht="30">
      <c r="A76" t="s">
        <v>1528</v>
      </c>
      <c r="B76" s="1" t="s">
        <v>1529</v>
      </c>
      <c r="C76" s="22">
        <f>IF('Tool 12 - Freight Trans'!C12="Option A: Monitoring fuel consumption",'Tool 12 - Freight Trans'!C17,'Tool 12 - Freight Trans'!C21)</f>
        <v>3.0872279999999996</v>
      </c>
      <c r="D76" t="str">
        <f>IF(C24="Included","Yes","NA")</f>
        <v>Yes</v>
      </c>
      <c r="E76" t="s">
        <v>1462</v>
      </c>
      <c r="F76" t="s">
        <v>1530</v>
      </c>
      <c r="G76" t="s">
        <v>16</v>
      </c>
    </row>
    <row r="77" spans="1:7" ht="30">
      <c r="A77" t="s">
        <v>1531</v>
      </c>
      <c r="B77" s="1" t="s">
        <v>1532</v>
      </c>
      <c r="C77" s="22">
        <f>'Tool 05.1'!G6</f>
        <v>0.73499999999999999</v>
      </c>
      <c r="D77" t="str">
        <f>IF(C24="Included","Yes","NA")</f>
        <v>Yes</v>
      </c>
      <c r="E77" t="s">
        <v>1462</v>
      </c>
      <c r="G77" t="s">
        <v>16</v>
      </c>
    </row>
    <row r="78" spans="1:7" ht="30">
      <c r="A78" t="s">
        <v>1533</v>
      </c>
      <c r="B78" s="1" t="s">
        <v>1534</v>
      </c>
      <c r="C78" s="22">
        <f>'(Revised) Tool 03'!G3</f>
        <v>73.333333333333329</v>
      </c>
      <c r="D78" t="str">
        <f>IF(C24="Included","Yes","NA")</f>
        <v>Yes</v>
      </c>
      <c r="E78" t="s">
        <v>1462</v>
      </c>
      <c r="G78" t="s">
        <v>16</v>
      </c>
    </row>
    <row r="79" spans="1:7" ht="15.75" thickBot="1">
      <c r="A79" t="s">
        <v>1535</v>
      </c>
      <c r="B79" s="1" t="s">
        <v>1536</v>
      </c>
      <c r="C79" s="22">
        <f>C76+C77+C78</f>
        <v>77.155561333333324</v>
      </c>
      <c r="D79" t="str">
        <f>IF(C24="Included","Yes","NA")</f>
        <v>Yes</v>
      </c>
      <c r="F79" t="s">
        <v>1537</v>
      </c>
      <c r="G79" t="s">
        <v>16</v>
      </c>
    </row>
    <row r="80" spans="1:7" ht="15.75" thickBot="1">
      <c r="A80" t="s">
        <v>254</v>
      </c>
      <c r="B80" s="1" t="s">
        <v>1538</v>
      </c>
      <c r="C80" s="77">
        <v>28</v>
      </c>
      <c r="D80" t="str">
        <f>IF(C24="Included","Yes","NA")</f>
        <v>Yes</v>
      </c>
      <c r="E80" t="s">
        <v>535</v>
      </c>
      <c r="G80" t="s">
        <v>16</v>
      </c>
    </row>
    <row r="81" spans="1:7">
      <c r="A81" t="s">
        <v>1539</v>
      </c>
      <c r="B81" s="1" t="s">
        <v>1540</v>
      </c>
      <c r="D81" t="str">
        <f>IF(C24="Included","Yes","NA")</f>
        <v>Yes</v>
      </c>
      <c r="E81" t="s">
        <v>91</v>
      </c>
      <c r="G81" t="s">
        <v>16</v>
      </c>
    </row>
    <row r="82" spans="1:7" ht="30">
      <c r="A82" t="s">
        <v>1541</v>
      </c>
      <c r="B82" s="1" t="s">
        <v>1542</v>
      </c>
      <c r="D82" t="str">
        <f>IF(C24="Included","Yes","NA")</f>
        <v>Yes</v>
      </c>
      <c r="E82" t="s">
        <v>91</v>
      </c>
      <c r="G82" t="s">
        <v>16</v>
      </c>
    </row>
    <row r="83" spans="1:7">
      <c r="A83" t="s">
        <v>1543</v>
      </c>
      <c r="B83" s="1" t="s">
        <v>1544</v>
      </c>
      <c r="D83" t="str">
        <f>IF(C24="Included","Yes","NA")</f>
        <v>Yes</v>
      </c>
      <c r="E83" t="s">
        <v>91</v>
      </c>
      <c r="G83" t="s">
        <v>16</v>
      </c>
    </row>
    <row r="84" spans="1:7" ht="30">
      <c r="A84" t="s">
        <v>1545</v>
      </c>
      <c r="B84" s="1" t="s">
        <v>1546</v>
      </c>
      <c r="D84" t="str">
        <f>IF(C24="Included","Yes","NA")</f>
        <v>Yes</v>
      </c>
      <c r="E84" t="s">
        <v>91</v>
      </c>
      <c r="G84" t="s">
        <v>16</v>
      </c>
    </row>
    <row r="85" spans="1:7" ht="30">
      <c r="A85" t="s">
        <v>1547</v>
      </c>
      <c r="B85" s="1" t="s">
        <v>1548</v>
      </c>
      <c r="C85" s="22">
        <f>C80*C81*C82*C83*C84</f>
        <v>0</v>
      </c>
      <c r="D85" t="str">
        <f>IF(C24="Included","Yes","NA")</f>
        <v>Yes</v>
      </c>
      <c r="E85" t="s">
        <v>1423</v>
      </c>
      <c r="G85" t="s">
        <v>16</v>
      </c>
    </row>
    <row r="86" spans="1:7" ht="30">
      <c r="A86" t="s">
        <v>1549</v>
      </c>
      <c r="B86" s="1" t="s">
        <v>1550</v>
      </c>
      <c r="C86" s="22">
        <f>'Tool 05.1'!G6</f>
        <v>0.73499999999999999</v>
      </c>
      <c r="D86" t="str">
        <f>IF(C24="Included","Yes","NA")</f>
        <v>Yes</v>
      </c>
      <c r="E86" t="s">
        <v>1462</v>
      </c>
      <c r="G86" t="s">
        <v>16</v>
      </c>
    </row>
    <row r="87" spans="1:7" ht="30">
      <c r="A87" t="s">
        <v>1551</v>
      </c>
      <c r="B87" s="1" t="s">
        <v>1552</v>
      </c>
      <c r="C87" s="22">
        <f>'(Revised) Tool 03'!G3</f>
        <v>73.333333333333329</v>
      </c>
      <c r="D87" t="str">
        <f>IF(C24="Included","Yes","NA")</f>
        <v>Yes</v>
      </c>
      <c r="E87" t="s">
        <v>1462</v>
      </c>
      <c r="G87" t="s">
        <v>16</v>
      </c>
    </row>
    <row r="88" spans="1:7" ht="30">
      <c r="A88" t="s">
        <v>1553</v>
      </c>
      <c r="B88" s="1" t="s">
        <v>1554</v>
      </c>
      <c r="C88" s="22">
        <f>'Tool 04-SWDS-Yearly'!C86</f>
        <v>34.183359991239271</v>
      </c>
      <c r="D88" t="str">
        <f>IF(C24="Included","Yes","NA")</f>
        <v>Yes</v>
      </c>
      <c r="E88" t="s">
        <v>1462</v>
      </c>
      <c r="G88" t="s">
        <v>16</v>
      </c>
    </row>
    <row r="89" spans="1:7" ht="30">
      <c r="A89" t="s">
        <v>1555</v>
      </c>
      <c r="B89" s="1" t="s">
        <v>1556</v>
      </c>
      <c r="C89" s="22">
        <f>'Tool 13'!G3</f>
        <v>74.068333333333328</v>
      </c>
      <c r="D89" t="str">
        <f>IF(C24="Included","Yes","NA")</f>
        <v>Yes</v>
      </c>
      <c r="E89" t="s">
        <v>1462</v>
      </c>
      <c r="G89" t="s">
        <v>16</v>
      </c>
    </row>
    <row r="90" spans="1:7" ht="30.75" thickBot="1">
      <c r="A90" t="s">
        <v>1557</v>
      </c>
      <c r="B90" s="1" t="s">
        <v>1558</v>
      </c>
      <c r="C90" s="22">
        <f>'Tool 14'!F13</f>
        <v>0</v>
      </c>
      <c r="D90" t="str">
        <f>IF(C24="Included","Yes","NA")</f>
        <v>Yes</v>
      </c>
      <c r="E90" t="s">
        <v>1462</v>
      </c>
      <c r="G90" t="s">
        <v>16</v>
      </c>
    </row>
    <row r="91" spans="1:7" s="4" customFormat="1" ht="15" customHeight="1" thickTop="1" thickBot="1">
      <c r="A91" s="4" t="s">
        <v>1559</v>
      </c>
      <c r="B91" s="3" t="s">
        <v>1560</v>
      </c>
      <c r="C91" s="76">
        <f>C86+C87+C88+C89+C90+C85+C79</f>
        <v>259.47558799123925</v>
      </c>
      <c r="D91" s="4" t="str">
        <f>IF(C24="Included","Yes","NA")</f>
        <v>Yes</v>
      </c>
      <c r="E91" s="4" t="s">
        <v>1423</v>
      </c>
      <c r="G91" s="4" t="s">
        <v>16</v>
      </c>
    </row>
    <row r="92" spans="1:7" ht="30.75" thickTop="1">
      <c r="A92" t="s">
        <v>1561</v>
      </c>
      <c r="B92" s="1" t="s">
        <v>1562</v>
      </c>
      <c r="C92" s="22">
        <f>IF('Tool 12 - Freight Trans'!C12="Option A: Monitoring fuel consumption",'Tool 12 - Freight Trans'!C17,'Tool 12 - Freight Trans'!C21)</f>
        <v>3.0872279999999996</v>
      </c>
      <c r="D92" t="str">
        <f>IF(C25="Included","Yes","NA")</f>
        <v>Yes</v>
      </c>
      <c r="E92" t="s">
        <v>1462</v>
      </c>
      <c r="F92" t="s">
        <v>1530</v>
      </c>
      <c r="G92" t="s">
        <v>16</v>
      </c>
    </row>
    <row r="93" spans="1:7" ht="30">
      <c r="A93" t="s">
        <v>1563</v>
      </c>
      <c r="B93" s="1" t="s">
        <v>1564</v>
      </c>
      <c r="C93" s="22">
        <f>'Tool 05.1'!G6</f>
        <v>0.73499999999999999</v>
      </c>
      <c r="D93" t="str">
        <f>IF(C25="Included","Yes","NA")</f>
        <v>Yes</v>
      </c>
      <c r="E93" t="s">
        <v>1462</v>
      </c>
      <c r="G93" t="s">
        <v>16</v>
      </c>
    </row>
    <row r="94" spans="1:7" ht="30">
      <c r="A94" t="s">
        <v>1565</v>
      </c>
      <c r="B94" s="1" t="s">
        <v>1566</v>
      </c>
      <c r="C94" s="22">
        <f>'(Revised) Tool 03'!G3</f>
        <v>73.333333333333329</v>
      </c>
      <c r="D94" t="str">
        <f>IF(C25="Included","Yes","NA")</f>
        <v>Yes</v>
      </c>
      <c r="E94" t="s">
        <v>1462</v>
      </c>
      <c r="G94" t="s">
        <v>16</v>
      </c>
    </row>
    <row r="95" spans="1:7" ht="15.75" thickBot="1">
      <c r="A95" t="s">
        <v>1567</v>
      </c>
      <c r="B95" s="1" t="s">
        <v>1568</v>
      </c>
      <c r="C95" s="78">
        <f>C92+C93+C94</f>
        <v>77.155561333333324</v>
      </c>
      <c r="D95" t="str">
        <f>IF(C25="Included","Yes","NA")</f>
        <v>Yes</v>
      </c>
      <c r="F95" t="s">
        <v>1537</v>
      </c>
      <c r="G95" t="s">
        <v>16</v>
      </c>
    </row>
    <row r="96" spans="1:7" ht="15.75" thickBot="1">
      <c r="A96" t="s">
        <v>254</v>
      </c>
      <c r="B96" s="1" t="s">
        <v>1538</v>
      </c>
      <c r="C96" s="77">
        <v>28</v>
      </c>
      <c r="D96" t="str">
        <f>IF(C25="Included","Yes","NA")</f>
        <v>Yes</v>
      </c>
      <c r="E96" t="s">
        <v>535</v>
      </c>
      <c r="G96" t="s">
        <v>16</v>
      </c>
    </row>
    <row r="97" spans="1:7">
      <c r="A97" t="s">
        <v>1569</v>
      </c>
      <c r="B97" s="1" t="s">
        <v>1570</v>
      </c>
      <c r="C97">
        <v>1000</v>
      </c>
      <c r="D97" t="str">
        <f>IF(C25="Included","Yes","NA")</f>
        <v>Yes</v>
      </c>
      <c r="E97" t="s">
        <v>91</v>
      </c>
      <c r="G97" t="s">
        <v>16</v>
      </c>
    </row>
    <row r="98" spans="1:7" ht="30">
      <c r="A98" t="s">
        <v>1571</v>
      </c>
      <c r="B98" s="1" t="s">
        <v>1572</v>
      </c>
      <c r="C98">
        <v>1E-3</v>
      </c>
      <c r="D98" t="str">
        <f>IF(C25="Included","Yes","NA")</f>
        <v>Yes</v>
      </c>
      <c r="E98" t="s">
        <v>91</v>
      </c>
      <c r="G98" t="s">
        <v>16</v>
      </c>
    </row>
    <row r="99" spans="1:7">
      <c r="A99" t="s">
        <v>1543</v>
      </c>
      <c r="B99" s="1" t="s">
        <v>1544</v>
      </c>
      <c r="C99">
        <v>1E-3</v>
      </c>
      <c r="D99" t="str">
        <f>IF(C25="Included","Yes","NA")</f>
        <v>Yes</v>
      </c>
      <c r="E99" t="s">
        <v>91</v>
      </c>
      <c r="G99" t="s">
        <v>16</v>
      </c>
    </row>
    <row r="100" spans="1:7" ht="30">
      <c r="A100" t="s">
        <v>1573</v>
      </c>
      <c r="B100" s="1" t="s">
        <v>1574</v>
      </c>
      <c r="C100">
        <v>0.33</v>
      </c>
      <c r="D100" t="str">
        <f>IF(C25="Included","Yes","NA")</f>
        <v>Yes</v>
      </c>
      <c r="E100" t="s">
        <v>91</v>
      </c>
      <c r="G100" t="s">
        <v>16</v>
      </c>
    </row>
    <row r="101" spans="1:7" ht="30">
      <c r="A101" t="s">
        <v>1575</v>
      </c>
      <c r="B101" s="1" t="s">
        <v>1576</v>
      </c>
      <c r="C101" s="22">
        <f>C96*C97*C98*C99*C100</f>
        <v>9.2399999999999999E-3</v>
      </c>
      <c r="D101" t="str">
        <f>IF(C25="Included","Yes","NA")</f>
        <v>Yes</v>
      </c>
      <c r="E101" t="s">
        <v>1423</v>
      </c>
      <c r="G101" t="s">
        <v>16</v>
      </c>
    </row>
    <row r="102" spans="1:7" ht="30">
      <c r="A102" t="s">
        <v>1577</v>
      </c>
      <c r="B102" s="1" t="s">
        <v>1578</v>
      </c>
      <c r="C102" s="22">
        <f>'Tool 05.1'!G6</f>
        <v>0.73499999999999999</v>
      </c>
      <c r="D102" t="str">
        <f>IF(C25="Included","Yes","NA")</f>
        <v>Yes</v>
      </c>
      <c r="E102" t="s">
        <v>1462</v>
      </c>
      <c r="G102" t="s">
        <v>16</v>
      </c>
    </row>
    <row r="103" spans="1:7" ht="30">
      <c r="A103" t="s">
        <v>1579</v>
      </c>
      <c r="B103" s="1" t="s">
        <v>1580</v>
      </c>
      <c r="C103" s="22">
        <f>'(Revised) Tool 03'!G3</f>
        <v>73.333333333333329</v>
      </c>
      <c r="D103" t="str">
        <f>IF(C25="Included","Yes","NA")</f>
        <v>Yes</v>
      </c>
      <c r="E103" t="s">
        <v>1462</v>
      </c>
      <c r="G103" t="s">
        <v>16</v>
      </c>
    </row>
    <row r="104" spans="1:7" ht="30">
      <c r="A104" t="s">
        <v>1581</v>
      </c>
      <c r="B104" s="1" t="s">
        <v>1582</v>
      </c>
      <c r="C104" s="22">
        <f>'Tool 04-SWDS-Yearly'!C86</f>
        <v>34.183359991239271</v>
      </c>
      <c r="D104" t="str">
        <f>IF(C25="Included","Yes","NA")</f>
        <v>Yes</v>
      </c>
      <c r="E104" t="s">
        <v>1462</v>
      </c>
      <c r="G104" t="s">
        <v>16</v>
      </c>
    </row>
    <row r="105" spans="1:7" ht="30">
      <c r="A105" t="s">
        <v>1583</v>
      </c>
      <c r="B105" s="1" t="s">
        <v>1584</v>
      </c>
      <c r="C105" s="22">
        <f>'Tool 13'!G3</f>
        <v>74.068333333333328</v>
      </c>
      <c r="D105" t="str">
        <f>IF(C25="Included","Yes","NA")</f>
        <v>Yes</v>
      </c>
      <c r="E105" t="s">
        <v>1462</v>
      </c>
      <c r="G105" t="s">
        <v>16</v>
      </c>
    </row>
    <row r="106" spans="1:7" ht="30.75" thickBot="1">
      <c r="A106" t="s">
        <v>1585</v>
      </c>
      <c r="B106" s="1" t="s">
        <v>1586</v>
      </c>
      <c r="C106" s="22">
        <f>'Tool 14'!F13</f>
        <v>0</v>
      </c>
      <c r="D106" t="str">
        <f>IF(C25="Included","Yes","NA")</f>
        <v>Yes</v>
      </c>
      <c r="E106" t="s">
        <v>1462</v>
      </c>
      <c r="G106" t="s">
        <v>16</v>
      </c>
    </row>
    <row r="107" spans="1:7" s="4" customFormat="1" ht="16.5" thickTop="1" thickBot="1">
      <c r="A107" s="4" t="s">
        <v>1587</v>
      </c>
      <c r="B107" s="3" t="s">
        <v>1588</v>
      </c>
      <c r="C107" s="76">
        <f>C102+C103+C104+C105+C106+C101+C95</f>
        <v>259.48482799123929</v>
      </c>
      <c r="D107" s="4" t="str">
        <f>IF(C25="Included","Yes","NA")</f>
        <v>Yes</v>
      </c>
      <c r="E107" s="4" t="s">
        <v>1423</v>
      </c>
      <c r="G107" s="4" t="s">
        <v>16</v>
      </c>
    </row>
    <row r="108" spans="1:7" s="10" customFormat="1" ht="38.25" thickTop="1">
      <c r="A108" s="10" t="s">
        <v>1589</v>
      </c>
      <c r="B108" s="9" t="s">
        <v>1590</v>
      </c>
      <c r="D108" s="10" t="str">
        <f>IF(C27="Included","Yes","NA")</f>
        <v>Yes</v>
      </c>
    </row>
    <row r="109" spans="1:7" ht="30">
      <c r="B109" s="1" t="s">
        <v>1591</v>
      </c>
      <c r="C109" s="159">
        <v>1E-3</v>
      </c>
      <c r="D109" t="str">
        <f>IF(C27="Included","Yes","NA")</f>
        <v>Yes</v>
      </c>
      <c r="E109" t="s">
        <v>91</v>
      </c>
      <c r="G109" t="s">
        <v>1097</v>
      </c>
    </row>
    <row r="110" spans="1:7" ht="30.75" thickBot="1">
      <c r="B110" s="1" t="s">
        <v>1592</v>
      </c>
      <c r="C110" s="159">
        <v>1E-3</v>
      </c>
      <c r="D110" t="str">
        <f>IF(C27="Included","Yes","NA")</f>
        <v>Yes</v>
      </c>
      <c r="E110" t="s">
        <v>91</v>
      </c>
      <c r="G110" t="s">
        <v>1097</v>
      </c>
    </row>
    <row r="111" spans="1:7" s="27" customFormat="1" ht="31.5" thickTop="1" thickBot="1">
      <c r="A111" s="27" t="s">
        <v>1589</v>
      </c>
      <c r="B111" s="28" t="s">
        <v>1590</v>
      </c>
      <c r="C111" s="84">
        <f>IF(OR(C28="Yes",C29="Yes"),0,IF(AND(C3="Small or Micro",C109&lt;0.1,C110&lt;0.1),0,IF(C3="Large","No shift of pre-project activities is allowed",IF(OR(C109&gt;0.5,C110&gt;0.5),"Tool NA",IF(OR(C109&gt;0.1,C110&gt;0.1),"=(BE-PE)*.15")))))</f>
        <v>0</v>
      </c>
      <c r="D111" s="27" t="str">
        <f>IF(C27="Included","Yes","NA")</f>
        <v>Yes</v>
      </c>
      <c r="E111" s="27" t="s">
        <v>1423</v>
      </c>
      <c r="F111" s="27" t="s">
        <v>1593</v>
      </c>
      <c r="G111" s="27" t="s">
        <v>1097</v>
      </c>
    </row>
    <row r="112" spans="1:7" s="10" customFormat="1" ht="19.5" thickTop="1">
      <c r="A112" s="10" t="s">
        <v>1594</v>
      </c>
      <c r="B112" s="9" t="s">
        <v>1595</v>
      </c>
      <c r="D112" s="10" t="str">
        <f>IF(C30="Included","Yes","NA")</f>
        <v>Yes</v>
      </c>
    </row>
    <row r="113" spans="1:7">
      <c r="A113" t="s">
        <v>1596</v>
      </c>
      <c r="B113" s="1" t="s">
        <v>1597</v>
      </c>
      <c r="C113">
        <v>1.1000000000000001</v>
      </c>
      <c r="D113" t="str">
        <f>IF(C30="Included","Yes","NA")</f>
        <v>Yes</v>
      </c>
      <c r="E113" t="s">
        <v>91</v>
      </c>
      <c r="G113" t="s">
        <v>1097</v>
      </c>
    </row>
    <row r="114" spans="1:7" ht="30">
      <c r="A114" t="s">
        <v>1598</v>
      </c>
      <c r="B114" s="1" t="s">
        <v>1599</v>
      </c>
      <c r="C114">
        <v>19</v>
      </c>
      <c r="D114" t="str">
        <f>IF(C30="Included","Yes","NA")</f>
        <v>Yes</v>
      </c>
      <c r="E114" t="s">
        <v>91</v>
      </c>
      <c r="F114" t="s">
        <v>1600</v>
      </c>
      <c r="G114" t="s">
        <v>1097</v>
      </c>
    </row>
    <row r="115" spans="1:7" ht="15.75" thickBot="1">
      <c r="A115" t="s">
        <v>1601</v>
      </c>
      <c r="B115" s="1" t="s">
        <v>1602</v>
      </c>
      <c r="C115">
        <v>17</v>
      </c>
      <c r="D115" t="str">
        <f>IF(C30="Included","Yes","NA")</f>
        <v>Yes</v>
      </c>
      <c r="E115" t="s">
        <v>91</v>
      </c>
      <c r="G115" t="s">
        <v>16</v>
      </c>
    </row>
    <row r="116" spans="1:7" s="81" customFormat="1" ht="15.75" thickTop="1">
      <c r="A116" s="81" t="s">
        <v>1594</v>
      </c>
      <c r="B116" s="83" t="s">
        <v>1595</v>
      </c>
      <c r="C116" s="82">
        <f>IF(C31="B4: The biomass residues are used for energy or non-energy applications, or the primary source of the biomass residues and/or their fate cannot be clearly identified.",(C113*C114*C115)+SUM(C117),"See Notes")</f>
        <v>355.3</v>
      </c>
      <c r="D116" s="81" t="str">
        <f>IF(C30="Included","Yes","NA")</f>
        <v>Yes</v>
      </c>
      <c r="E116" s="81" t="s">
        <v>1423</v>
      </c>
      <c r="F116" s="81" t="s">
        <v>1603</v>
      </c>
      <c r="G116" s="81" t="s">
        <v>1097</v>
      </c>
    </row>
    <row r="117" spans="1:7" s="79" customFormat="1" ht="15.75" thickBot="1">
      <c r="B117" s="80" t="s">
        <v>1604</v>
      </c>
      <c r="D117" s="79" t="str">
        <f>IF(C30="Included","Yes","NA")</f>
        <v>Yes</v>
      </c>
      <c r="F117" s="79" t="s">
        <v>1605</v>
      </c>
      <c r="G117" s="79" t="s">
        <v>14</v>
      </c>
    </row>
    <row r="118" spans="1:7" s="10" customFormat="1" ht="39" thickTop="1" thickBot="1">
      <c r="A118" s="10" t="s">
        <v>1606</v>
      </c>
      <c r="B118" s="9" t="s">
        <v>1607</v>
      </c>
      <c r="D118" s="10" t="str">
        <f>IF(C32="Included","Yes","NA")</f>
        <v>NA</v>
      </c>
    </row>
    <row r="119" spans="1:7" s="4" customFormat="1" ht="16.5" thickTop="1" thickBot="1">
      <c r="A119" s="4" t="s">
        <v>1606</v>
      </c>
      <c r="B119" s="3" t="s">
        <v>1607</v>
      </c>
      <c r="C119" s="76">
        <f>IF('Tool 12 - Freight Trans'!C12="Option A: Monitoring fuel consumption",'Tool 12 - Freight Trans'!C17,'Tool 12 - Freight Trans'!C21)</f>
        <v>3.0872279999999996</v>
      </c>
      <c r="D119" s="4" t="str">
        <f>IF(C32="Included","Yes","NA")</f>
        <v>NA</v>
      </c>
      <c r="E119" s="4" t="s">
        <v>1462</v>
      </c>
      <c r="F119" s="4" t="s">
        <v>1525</v>
      </c>
      <c r="G119" s="4" t="s">
        <v>16</v>
      </c>
    </row>
    <row r="120" spans="1:7" s="10" customFormat="1" ht="38.25" thickTop="1">
      <c r="A120" s="10" t="s">
        <v>1608</v>
      </c>
      <c r="B120" s="9" t="s">
        <v>1609</v>
      </c>
      <c r="D120" s="10" t="str">
        <f>IF(C33="Included","Yes","NA")</f>
        <v>NA</v>
      </c>
    </row>
    <row r="121" spans="1:7">
      <c r="A121" t="s">
        <v>1610</v>
      </c>
      <c r="B121" t="s">
        <v>1611</v>
      </c>
      <c r="C121" s="22">
        <f>IF('Tool 12 - Freight Trans'!C12="Option A: Monitoring fuel consumption",'Tool 12 - Freight Trans'!C17,'Tool 12 - Freight Trans'!C21)</f>
        <v>3.0872279999999996</v>
      </c>
      <c r="D121" t="str">
        <f>IF(C33="Included","Yes","NA")</f>
        <v>NA</v>
      </c>
      <c r="E121" t="s">
        <v>1462</v>
      </c>
      <c r="F121" t="s">
        <v>1530</v>
      </c>
      <c r="G121" t="s">
        <v>16</v>
      </c>
    </row>
    <row r="122" spans="1:7">
      <c r="A122" t="s">
        <v>1612</v>
      </c>
      <c r="B122" t="s">
        <v>1613</v>
      </c>
      <c r="C122" s="22">
        <f>'Tool 05.1'!G16</f>
        <v>0.39375000000000004</v>
      </c>
      <c r="D122" t="str">
        <f>IF(C33="Included","Yes","NA")</f>
        <v>NA</v>
      </c>
      <c r="E122" t="s">
        <v>1462</v>
      </c>
      <c r="G122" t="s">
        <v>16</v>
      </c>
    </row>
    <row r="123" spans="1:7">
      <c r="A123" t="s">
        <v>1614</v>
      </c>
      <c r="B123" t="s">
        <v>1615</v>
      </c>
      <c r="C123" s="22">
        <f>'(Revised) Tool 03'!G3</f>
        <v>73.333333333333329</v>
      </c>
      <c r="D123" t="str">
        <f>IF(C33="Included","Yes","NA")</f>
        <v>NA</v>
      </c>
      <c r="E123" t="s">
        <v>1462</v>
      </c>
      <c r="G123" t="s">
        <v>16</v>
      </c>
    </row>
    <row r="124" spans="1:7" ht="15.75" thickBot="1">
      <c r="A124" t="s">
        <v>1616</v>
      </c>
      <c r="B124" t="s">
        <v>1617</v>
      </c>
      <c r="C124" s="78">
        <f>C121+C122+C123</f>
        <v>76.814311333333322</v>
      </c>
      <c r="D124" t="str">
        <f>IF(C33="Included","Yes","NA")</f>
        <v>NA</v>
      </c>
      <c r="F124" t="s">
        <v>1618</v>
      </c>
      <c r="G124" t="s">
        <v>16</v>
      </c>
    </row>
    <row r="125" spans="1:7" ht="15.75" thickBot="1">
      <c r="A125" t="s">
        <v>254</v>
      </c>
      <c r="B125" t="s">
        <v>1538</v>
      </c>
      <c r="C125" s="77">
        <v>28</v>
      </c>
      <c r="D125" t="str">
        <f>IF(C33="Included","Yes","NA")</f>
        <v>NA</v>
      </c>
      <c r="E125" t="s">
        <v>535</v>
      </c>
      <c r="G125" t="s">
        <v>16</v>
      </c>
    </row>
    <row r="126" spans="1:7">
      <c r="A126" t="s">
        <v>1569</v>
      </c>
      <c r="B126" t="s">
        <v>1570</v>
      </c>
      <c r="C126">
        <v>1200</v>
      </c>
      <c r="D126" t="str">
        <f>IF(C33="Included","Yes","NA")</f>
        <v>NA</v>
      </c>
      <c r="E126" t="s">
        <v>91</v>
      </c>
      <c r="G126" t="s">
        <v>16</v>
      </c>
    </row>
    <row r="127" spans="1:7">
      <c r="A127" t="s">
        <v>1571</v>
      </c>
      <c r="B127" t="s">
        <v>1572</v>
      </c>
      <c r="C127">
        <v>0.01</v>
      </c>
      <c r="D127" t="str">
        <f>IF(C33="Included","Yes","NA")</f>
        <v>NA</v>
      </c>
      <c r="E127" t="s">
        <v>91</v>
      </c>
      <c r="G127" t="s">
        <v>16</v>
      </c>
    </row>
    <row r="128" spans="1:7">
      <c r="A128" t="s">
        <v>1543</v>
      </c>
      <c r="B128" t="s">
        <v>1544</v>
      </c>
      <c r="C128">
        <v>6</v>
      </c>
      <c r="D128" t="str">
        <f>IF(C33="Included","Yes","NA")</f>
        <v>NA</v>
      </c>
      <c r="E128" t="s">
        <v>91</v>
      </c>
      <c r="G128" t="s">
        <v>16</v>
      </c>
    </row>
    <row r="129" spans="1:7">
      <c r="A129" t="s">
        <v>1573</v>
      </c>
      <c r="B129" t="s">
        <v>1574</v>
      </c>
      <c r="C129">
        <v>0.08</v>
      </c>
      <c r="D129" t="str">
        <f>IF(C33="Included","Yes","NA")</f>
        <v>NA</v>
      </c>
      <c r="E129" t="s">
        <v>91</v>
      </c>
      <c r="G129" t="s">
        <v>16</v>
      </c>
    </row>
    <row r="130" spans="1:7">
      <c r="A130" t="s">
        <v>1619</v>
      </c>
      <c r="B130" t="s">
        <v>1620</v>
      </c>
      <c r="C130" s="22">
        <f>C125*C126*C127*C128*C129</f>
        <v>161.28</v>
      </c>
      <c r="D130" t="str">
        <f>IF(C33="Included","Yes","NA")</f>
        <v>NA</v>
      </c>
      <c r="E130" t="s">
        <v>1423</v>
      </c>
      <c r="G130" t="s">
        <v>16</v>
      </c>
    </row>
    <row r="131" spans="1:7">
      <c r="A131" t="s">
        <v>1621</v>
      </c>
      <c r="B131" t="s">
        <v>1622</v>
      </c>
      <c r="C131" s="22">
        <f>'Tool 05.1'!G16</f>
        <v>0.39375000000000004</v>
      </c>
      <c r="D131" t="str">
        <f>IF(C33="Included","Yes","NA")</f>
        <v>NA</v>
      </c>
      <c r="E131" t="s">
        <v>1462</v>
      </c>
      <c r="G131" t="s">
        <v>16</v>
      </c>
    </row>
    <row r="132" spans="1:7">
      <c r="A132" t="s">
        <v>1623</v>
      </c>
      <c r="B132" t="s">
        <v>1624</v>
      </c>
      <c r="C132" s="22">
        <f>'(Revised) Tool 03'!G3</f>
        <v>73.333333333333329</v>
      </c>
      <c r="D132" t="str">
        <f>IF(C33="Included","Yes","NA")</f>
        <v>NA</v>
      </c>
      <c r="E132" t="s">
        <v>1462</v>
      </c>
      <c r="G132" t="s">
        <v>16</v>
      </c>
    </row>
    <row r="133" spans="1:7">
      <c r="A133" t="s">
        <v>1625</v>
      </c>
      <c r="B133" t="s">
        <v>1626</v>
      </c>
      <c r="C133" s="22">
        <f>'Tool 04-SWDS-Yearly'!C86</f>
        <v>34.183359991239271</v>
      </c>
      <c r="D133" t="str">
        <f>IF(C33="Included","Yes","NA")</f>
        <v>NA</v>
      </c>
      <c r="E133" t="s">
        <v>1462</v>
      </c>
      <c r="G133" t="s">
        <v>16</v>
      </c>
    </row>
    <row r="134" spans="1:7">
      <c r="A134" t="s">
        <v>1627</v>
      </c>
      <c r="B134" t="s">
        <v>1628</v>
      </c>
      <c r="C134" s="22">
        <f>'Tool 13'!G65</f>
        <v>34.183359991239271</v>
      </c>
      <c r="D134" t="str">
        <f>IF(C33="Included","Yes","NA")</f>
        <v>NA</v>
      </c>
      <c r="E134" t="s">
        <v>1462</v>
      </c>
      <c r="G134" t="s">
        <v>16</v>
      </c>
    </row>
    <row r="135" spans="1:7" ht="15.75" thickBot="1">
      <c r="A135" t="s">
        <v>1629</v>
      </c>
      <c r="B135" t="s">
        <v>1630</v>
      </c>
      <c r="C135" s="22">
        <f>'Tool 14'!F65</f>
        <v>74.068333333333328</v>
      </c>
      <c r="D135" t="str">
        <f>IF(C33="Included","Yes","NA")</f>
        <v>NA</v>
      </c>
      <c r="E135" t="s">
        <v>1462</v>
      </c>
      <c r="G135" t="s">
        <v>16</v>
      </c>
    </row>
    <row r="136" spans="1:7" s="4" customFormat="1" ht="16.5" thickTop="1" thickBot="1">
      <c r="A136" s="4" t="s">
        <v>1608</v>
      </c>
      <c r="B136" s="4" t="s">
        <v>1631</v>
      </c>
      <c r="C136" s="76">
        <f>C131+C132+C133+C134+C135+C130+C124</f>
        <v>454.25644798247851</v>
      </c>
      <c r="D136" s="4" t="str">
        <f>IF(C33="Included","Yes","NA")</f>
        <v>NA</v>
      </c>
      <c r="E136" s="4" t="s">
        <v>1423</v>
      </c>
      <c r="G136" s="4" t="s">
        <v>1097</v>
      </c>
    </row>
    <row r="137" spans="1:7" s="8" customFormat="1" ht="37.9" customHeight="1" thickTop="1">
      <c r="B137" s="75" t="s">
        <v>1632</v>
      </c>
      <c r="F137" s="8" t="s">
        <v>1633</v>
      </c>
    </row>
  </sheetData>
  <dataConsolidate/>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00FA3762-9F6A-4459-B01E-1CAAFF5AB850}">
          <x14:formula1>
            <xm:f>'Tool 16.3 Dropdown Items'!$K$2:$K$5</xm:f>
          </x14:formula1>
          <xm:sqref>C31</xm:sqref>
        </x14:dataValidation>
        <x14:dataValidation type="list" allowBlank="1" showInputMessage="1" showErrorMessage="1" xr:uid="{80860989-6EE9-4EAC-A0DF-F29C9113D141}">
          <x14:formula1>
            <xm:f>'Tool 16.3 Dropdown Items'!$I$2:$I$5</xm:f>
          </x14:formula1>
          <xm:sqref>C26 C20</xm:sqref>
        </x14:dataValidation>
        <x14:dataValidation type="list" allowBlank="1" showInputMessage="1" showErrorMessage="1" xr:uid="{12210D54-144D-4BC0-9A8C-A6E37D469DE4}">
          <x14:formula1>
            <xm:f>'Tool 16.3 Dropdown Items'!$B$2:$B$3</xm:f>
          </x14:formula1>
          <xm:sqref>C32:C33 C19 C21:C30</xm:sqref>
        </x14:dataValidation>
        <x14:dataValidation type="list" allowBlank="1" showInputMessage="1" showErrorMessage="1" xr:uid="{1CE8FD5B-EB7B-4BB5-B83F-C47BBAA49D30}">
          <x14:formula1>
            <xm:f>'Tool 16.3 Dropdown Items'!$J$2:$J$4</xm:f>
          </x14:formula1>
          <xm:sqref>C3</xm:sqref>
        </x14:dataValidation>
        <x14:dataValidation type="list" allowBlank="1" showInputMessage="1" showErrorMessage="1" xr:uid="{94D4C0E4-5D86-4B88-8C7A-B746D60FA0B9}">
          <x14:formula1>
            <xm:f>'Tool 16.3 Dropdown Items'!$E$2:$E$3</xm:f>
          </x14:formula1>
          <xm:sqref>C69</xm:sqref>
        </x14:dataValidation>
        <x14:dataValidation type="list" allowBlank="1" showInputMessage="1" showErrorMessage="1" xr:uid="{450D0300-EC7C-41A8-9484-6912873B41BB}">
          <x14:formula1>
            <xm:f>'Tool 16.3 Dropdown Items'!$C$2:$C$3</xm:f>
          </x14:formula1>
          <xm:sqref>C4:C12 C15 C26 C28:C29</xm:sqref>
        </x14:dataValidation>
        <x14:dataValidation type="list" allowBlank="1" showInputMessage="1" showErrorMessage="1" xr:uid="{10C86E63-01B7-4E1C-8314-CDB3163FE798}">
          <x14:formula1>
            <xm:f>'Tool 16.3 Dropdown Items'!$A$2:$A$3</xm:f>
          </x14:formula1>
          <xm:sqref>C18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23945-B3ED-476B-B3E0-3B939AFD24D6}">
  <dimension ref="A1"/>
  <sheetViews>
    <sheetView topLeftCell="A4" workbookViewId="0">
      <selection activeCell="E38" sqref="E38"/>
    </sheetView>
  </sheetViews>
  <sheetFormatPr defaultRowHeight="15"/>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09DD-6BA4-47C1-B4AF-71C3282B2DAA}">
  <dimension ref="A1:B13"/>
  <sheetViews>
    <sheetView workbookViewId="0">
      <selection activeCell="B11" sqref="B11"/>
    </sheetView>
  </sheetViews>
  <sheetFormatPr defaultRowHeight="15"/>
  <cols>
    <col min="1" max="1" width="33" customWidth="1"/>
    <col min="2" max="2" width="31.5703125" customWidth="1"/>
    <col min="3" max="3" width="26.28515625" customWidth="1"/>
  </cols>
  <sheetData>
    <row r="1" spans="1:2" s="2" customFormat="1">
      <c r="A1" s="202" t="s">
        <v>1634</v>
      </c>
      <c r="B1" s="203"/>
    </row>
    <row r="2" spans="1:2">
      <c r="A2" t="s">
        <v>1446</v>
      </c>
      <c r="B2" s="22">
        <f>'Tool 16.1'!C71</f>
        <v>405.77711438434528</v>
      </c>
    </row>
    <row r="3" spans="1:2">
      <c r="A3" s="87" t="s">
        <v>1520</v>
      </c>
      <c r="B3" s="88">
        <f>'Tool 16.1'!C73</f>
        <v>3.0872279999999996</v>
      </c>
    </row>
    <row r="4" spans="1:2">
      <c r="A4" s="87" t="s">
        <v>1523</v>
      </c>
      <c r="B4" s="88">
        <f>'Tool 16.1'!C74</f>
        <v>3.0872279999999996</v>
      </c>
    </row>
    <row r="5" spans="1:2">
      <c r="A5" s="87" t="s">
        <v>1559</v>
      </c>
      <c r="B5" s="88">
        <f>'Tool 16.1'!C91</f>
        <v>259.47558799123925</v>
      </c>
    </row>
    <row r="6" spans="1:2">
      <c r="A6" s="87" t="s">
        <v>1587</v>
      </c>
      <c r="B6" s="88">
        <f>'Tool 16.1'!C107</f>
        <v>259.48482799123929</v>
      </c>
    </row>
    <row r="7" spans="1:2" s="2" customFormat="1">
      <c r="A7" s="2" t="s">
        <v>1635</v>
      </c>
      <c r="B7" s="78">
        <f>SUM(B2:B6)</f>
        <v>930.91198636682373</v>
      </c>
    </row>
    <row r="8" spans="1:2">
      <c r="A8" s="202" t="s">
        <v>296</v>
      </c>
      <c r="B8" s="202"/>
    </row>
    <row r="9" spans="1:2">
      <c r="A9" s="87" t="s">
        <v>1589</v>
      </c>
      <c r="B9" s="22">
        <f>'Tool 16.1'!C111</f>
        <v>0</v>
      </c>
    </row>
    <row r="10" spans="1:2">
      <c r="A10" s="87" t="s">
        <v>1594</v>
      </c>
      <c r="B10" s="22">
        <f>'Tool 16.1'!C116</f>
        <v>355.3</v>
      </c>
    </row>
    <row r="11" spans="1:2">
      <c r="A11" s="87" t="s">
        <v>1606</v>
      </c>
      <c r="B11" s="22">
        <f>'Tool 16.1'!C119</f>
        <v>3.0872279999999996</v>
      </c>
    </row>
    <row r="12" spans="1:2">
      <c r="A12" s="87" t="s">
        <v>1608</v>
      </c>
      <c r="B12" s="22">
        <f>'Tool 16.1'!C136</f>
        <v>454.25644798247851</v>
      </c>
    </row>
    <row r="13" spans="1:2" s="2" customFormat="1" ht="15" customHeight="1">
      <c r="A13" s="2" t="s">
        <v>1635</v>
      </c>
      <c r="B13" s="78">
        <f>SUM(B9:B12)</f>
        <v>812.6436759824785</v>
      </c>
    </row>
  </sheetData>
  <mergeCells count="2">
    <mergeCell ref="A1:B1"/>
    <mergeCell ref="A8:B8"/>
  </mergeCell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78CB2-53D8-40BA-89EC-6F0275087B08}">
  <dimension ref="A1:K7"/>
  <sheetViews>
    <sheetView workbookViewId="0">
      <selection activeCell="C31" sqref="C31"/>
    </sheetView>
  </sheetViews>
  <sheetFormatPr defaultRowHeight="15"/>
  <cols>
    <col min="1" max="1" width="25.85546875" customWidth="1"/>
    <col min="2" max="2" width="20.7109375" customWidth="1"/>
    <col min="3" max="3" width="13.28515625" customWidth="1"/>
    <col min="4" max="4" width="43.42578125" customWidth="1"/>
    <col min="5" max="5" width="13.7109375" customWidth="1"/>
    <col min="6" max="6" width="41.7109375" customWidth="1"/>
    <col min="7" max="7" width="32.7109375" customWidth="1"/>
    <col min="9" max="9" width="34.7109375" customWidth="1"/>
    <col min="10" max="10" width="19.85546875" customWidth="1"/>
  </cols>
  <sheetData>
    <row r="1" spans="1:11" s="2" customFormat="1">
      <c r="A1" s="2" t="s">
        <v>1167</v>
      </c>
      <c r="B1" s="2" t="s">
        <v>1636</v>
      </c>
      <c r="C1" s="2" t="s">
        <v>1112</v>
      </c>
      <c r="D1" s="2" t="s">
        <v>1637</v>
      </c>
      <c r="E1" s="2" t="s">
        <v>1638</v>
      </c>
      <c r="F1" s="2" t="s">
        <v>1639</v>
      </c>
      <c r="G1" s="2" t="s">
        <v>1640</v>
      </c>
      <c r="H1" s="2" t="s">
        <v>1641</v>
      </c>
      <c r="I1" s="2" t="s">
        <v>1642</v>
      </c>
      <c r="J1" s="2" t="s">
        <v>1643</v>
      </c>
      <c r="K1" s="2" t="s">
        <v>1644</v>
      </c>
    </row>
    <row r="2" spans="1:11">
      <c r="A2" t="s">
        <v>434</v>
      </c>
      <c r="B2" t="s">
        <v>1426</v>
      </c>
      <c r="C2" t="s">
        <v>14</v>
      </c>
      <c r="D2" t="s">
        <v>1645</v>
      </c>
      <c r="E2">
        <v>7</v>
      </c>
      <c r="F2" t="s">
        <v>1646</v>
      </c>
      <c r="G2" t="s">
        <v>1647</v>
      </c>
      <c r="H2" t="s">
        <v>1648</v>
      </c>
      <c r="I2" t="s">
        <v>1649</v>
      </c>
      <c r="J2" t="s">
        <v>352</v>
      </c>
      <c r="K2" t="s">
        <v>1650</v>
      </c>
    </row>
    <row r="3" spans="1:11">
      <c r="A3" t="s">
        <v>549</v>
      </c>
      <c r="B3" t="s">
        <v>1444</v>
      </c>
      <c r="C3" t="s">
        <v>16</v>
      </c>
      <c r="D3" t="s">
        <v>1651</v>
      </c>
      <c r="E3">
        <v>10</v>
      </c>
      <c r="F3" t="s">
        <v>1652</v>
      </c>
      <c r="G3" t="s">
        <v>1653</v>
      </c>
      <c r="H3" t="s">
        <v>1654</v>
      </c>
      <c r="I3" t="s">
        <v>1655</v>
      </c>
      <c r="J3" t="s">
        <v>1407</v>
      </c>
      <c r="K3" t="s">
        <v>1656</v>
      </c>
    </row>
    <row r="4" spans="1:11">
      <c r="F4" t="s">
        <v>1657</v>
      </c>
      <c r="G4" t="s">
        <v>1658</v>
      </c>
      <c r="H4" t="s">
        <v>1659</v>
      </c>
      <c r="I4" t="s">
        <v>1428</v>
      </c>
      <c r="K4" t="s">
        <v>1660</v>
      </c>
    </row>
    <row r="5" spans="1:11">
      <c r="F5" t="s">
        <v>1661</v>
      </c>
      <c r="G5" t="s">
        <v>1662</v>
      </c>
      <c r="H5" t="s">
        <v>1663</v>
      </c>
      <c r="I5" t="s">
        <v>11</v>
      </c>
      <c r="K5" t="s">
        <v>1442</v>
      </c>
    </row>
    <row r="6" spans="1:11">
      <c r="F6" t="s">
        <v>1664</v>
      </c>
      <c r="G6" t="s">
        <v>447</v>
      </c>
    </row>
    <row r="7" spans="1:11">
      <c r="G7" t="s">
        <v>1665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40DAB-5D82-4C01-A34A-1AA8F868486A}">
  <dimension ref="A1"/>
  <sheetViews>
    <sheetView workbookViewId="0">
      <selection activeCell="C31" sqref="C31"/>
    </sheetView>
  </sheetViews>
  <sheetFormatPr defaultRowHeight="15"/>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C3756-36A5-4AE5-910F-AFF5DE24A52D}">
  <dimension ref="A1:G30"/>
  <sheetViews>
    <sheetView workbookViewId="0">
      <selection activeCell="A15" sqref="A15"/>
    </sheetView>
  </sheetViews>
  <sheetFormatPr defaultRowHeight="15"/>
  <cols>
    <col min="1" max="1" width="103" customWidth="1"/>
    <col min="2" max="2" width="26.5703125" customWidth="1"/>
    <col min="3" max="3" width="14.85546875" customWidth="1"/>
    <col min="4" max="4" width="30.140625" customWidth="1"/>
    <col min="5" max="5" width="14.85546875" customWidth="1"/>
    <col min="6" max="6" width="15.42578125" customWidth="1"/>
    <col min="7" max="7" width="17.85546875" customWidth="1"/>
  </cols>
  <sheetData>
    <row r="1" spans="1:7" s="158" customFormat="1" ht="18.75">
      <c r="A1" s="158" t="s">
        <v>362</v>
      </c>
      <c r="B1" s="158" t="s">
        <v>363</v>
      </c>
      <c r="C1" s="158" t="s">
        <v>4</v>
      </c>
      <c r="D1" s="158" t="s">
        <v>364</v>
      </c>
      <c r="E1" s="158" t="s">
        <v>7</v>
      </c>
      <c r="F1" s="158" t="s">
        <v>361</v>
      </c>
      <c r="G1" s="158" t="s">
        <v>9</v>
      </c>
    </row>
    <row r="2" spans="1:7">
      <c r="A2" t="s">
        <v>1666</v>
      </c>
      <c r="B2" t="s">
        <v>1667</v>
      </c>
      <c r="C2" t="s">
        <v>14</v>
      </c>
      <c r="E2" t="s">
        <v>187</v>
      </c>
      <c r="F2" t="s">
        <v>16</v>
      </c>
    </row>
    <row r="3" spans="1:7">
      <c r="A3" t="s">
        <v>1668</v>
      </c>
      <c r="B3" t="s">
        <v>14</v>
      </c>
      <c r="C3" t="s">
        <v>1669</v>
      </c>
      <c r="E3" t="s">
        <v>187</v>
      </c>
      <c r="F3" t="s">
        <v>16</v>
      </c>
    </row>
    <row r="4" spans="1:7">
      <c r="A4" t="s">
        <v>1670</v>
      </c>
      <c r="B4" t="s">
        <v>14</v>
      </c>
      <c r="C4" t="str">
        <f>(IF(B3="Yes","Yes","NA"))</f>
        <v>Yes</v>
      </c>
      <c r="D4" t="s">
        <v>1671</v>
      </c>
      <c r="E4" t="s">
        <v>187</v>
      </c>
      <c r="F4" t="s">
        <v>16</v>
      </c>
    </row>
    <row r="5" spans="1:7">
      <c r="A5" t="s">
        <v>1672</v>
      </c>
      <c r="B5" t="s">
        <v>14</v>
      </c>
      <c r="C5" t="str">
        <f>(IF(B3="Yes","Yes","NA"))</f>
        <v>Yes</v>
      </c>
      <c r="D5" t="s">
        <v>1671</v>
      </c>
      <c r="E5" t="s">
        <v>187</v>
      </c>
      <c r="F5" t="s">
        <v>16</v>
      </c>
    </row>
    <row r="6" spans="1:7">
      <c r="A6" t="s">
        <v>1673</v>
      </c>
      <c r="B6" t="s">
        <v>16</v>
      </c>
      <c r="C6" t="s">
        <v>14</v>
      </c>
      <c r="D6" t="s">
        <v>1674</v>
      </c>
      <c r="E6" t="s">
        <v>187</v>
      </c>
      <c r="F6" t="s">
        <v>16</v>
      </c>
    </row>
    <row r="7" spans="1:7" ht="53.45" customHeight="1" thickBot="1">
      <c r="A7" s="1" t="s">
        <v>1675</v>
      </c>
      <c r="B7" t="s">
        <v>14</v>
      </c>
      <c r="C7" t="s">
        <v>14</v>
      </c>
      <c r="D7" t="s">
        <v>1671</v>
      </c>
      <c r="E7" t="s">
        <v>187</v>
      </c>
      <c r="F7" t="s">
        <v>16</v>
      </c>
    </row>
    <row r="8" spans="1:7" s="4" customFormat="1" ht="15" customHeight="1" thickTop="1" thickBot="1">
      <c r="A8" s="3" t="s">
        <v>1637</v>
      </c>
      <c r="B8" s="76" t="str">
        <f>IF(OR(B2="NA",B4="No",B5="No",B6="Yes",B7="No"),"NA","Applicable")</f>
        <v>Applicable</v>
      </c>
      <c r="E8" s="4" t="s">
        <v>200</v>
      </c>
      <c r="F8" s="4" t="s">
        <v>16</v>
      </c>
    </row>
    <row r="9" spans="1:7" s="14" customFormat="1" ht="15.75" thickTop="1">
      <c r="A9" s="14" t="s">
        <v>1676</v>
      </c>
      <c r="C9" s="14" t="str">
        <f>IF(B2="Type I: Project activities up to 5 MW that employ renewable energy as their primary technology.","Yes","NA")</f>
        <v>Yes</v>
      </c>
      <c r="D9" s="14" t="s">
        <v>1677</v>
      </c>
    </row>
    <row r="10" spans="1:7">
      <c r="A10" t="s">
        <v>1678</v>
      </c>
      <c r="B10" t="s">
        <v>14</v>
      </c>
      <c r="C10" t="str">
        <f>IF(B2="Type I: Project activities up to 5 MW that employ renewable energy as their primary technology.","Yes","NA")</f>
        <v>Yes</v>
      </c>
      <c r="D10" t="s">
        <v>1679</v>
      </c>
      <c r="E10" t="s">
        <v>187</v>
      </c>
      <c r="F10" t="s">
        <v>16</v>
      </c>
    </row>
    <row r="11" spans="1:7">
      <c r="A11" t="s">
        <v>1680</v>
      </c>
      <c r="B11" t="s">
        <v>16</v>
      </c>
      <c r="C11" t="str">
        <f>IF(B2="Type I: Project activities up to 5 MW that employ renewable energy as their primary technology.","Yes","NA")</f>
        <v>Yes</v>
      </c>
      <c r="D11" t="s">
        <v>1679</v>
      </c>
      <c r="E11" t="s">
        <v>187</v>
      </c>
      <c r="F11" t="s">
        <v>16</v>
      </c>
    </row>
    <row r="12" spans="1:7">
      <c r="A12" t="s">
        <v>1681</v>
      </c>
      <c r="B12" t="s">
        <v>16</v>
      </c>
      <c r="C12" t="str">
        <f>IF(B2="Type I: Project activities up to 5 MW that employ renewable energy as their primary technology.","Yes","NA")</f>
        <v>Yes</v>
      </c>
      <c r="D12" t="s">
        <v>1679</v>
      </c>
      <c r="E12" t="s">
        <v>187</v>
      </c>
      <c r="F12" t="s">
        <v>16</v>
      </c>
    </row>
    <row r="13" spans="1:7" ht="45.75" thickBot="1">
      <c r="A13" s="1" t="s">
        <v>1682</v>
      </c>
      <c r="B13" t="s">
        <v>16</v>
      </c>
      <c r="C13" t="str">
        <f>IF(B2="Type I: Project activities up to 5 MW that employ renewable energy as their primary technology.","Yes","NA")</f>
        <v>Yes</v>
      </c>
      <c r="D13" t="s">
        <v>1679</v>
      </c>
      <c r="E13" t="s">
        <v>187</v>
      </c>
      <c r="F13" t="s">
        <v>16</v>
      </c>
    </row>
    <row r="14" spans="1:7" s="4" customFormat="1" ht="16.5" thickTop="1" thickBot="1">
      <c r="A14" s="3" t="s">
        <v>103</v>
      </c>
      <c r="B14" s="76" t="str">
        <f>IF(OR(B10="Yes",B11="Yes",B12="Yes",B13="Yes"),"Additional","Nil")</f>
        <v>Additional</v>
      </c>
      <c r="C14" s="4" t="str">
        <f>IF(B2="Type I: Project activities up to 5 MW that employ renewable energy as their primary technology.","Yes","NA")</f>
        <v>Yes</v>
      </c>
      <c r="E14" s="4" t="s">
        <v>200</v>
      </c>
      <c r="F14" s="4" t="s">
        <v>16</v>
      </c>
    </row>
    <row r="15" spans="1:7" s="14" customFormat="1" ht="15.75" thickTop="1">
      <c r="A15" s="14" t="s">
        <v>1683</v>
      </c>
      <c r="C15" s="14" t="str">
        <f>IF(B2="Type II: Energy efficiency project activities that aim to achieve energy savings at a scale of no more than 20 GWh per year.","Yes","NA")</f>
        <v>NA</v>
      </c>
      <c r="D15" s="14" t="s">
        <v>1677</v>
      </c>
    </row>
    <row r="16" spans="1:7">
      <c r="A16" t="s">
        <v>1684</v>
      </c>
      <c r="B16" t="s">
        <v>16</v>
      </c>
      <c r="C16" t="str">
        <f>IF(B2="Type II: Energy efficiency project activities that aim to achieve energy savings at a scale of no more than 20 GWh per year.","Yes","NA")</f>
        <v>NA</v>
      </c>
      <c r="D16" t="s">
        <v>1679</v>
      </c>
      <c r="E16" t="s">
        <v>187</v>
      </c>
      <c r="F16" t="s">
        <v>16</v>
      </c>
    </row>
    <row r="17" spans="1:6" ht="15.75" thickBot="1">
      <c r="A17" t="s">
        <v>1685</v>
      </c>
      <c r="B17" t="s">
        <v>16</v>
      </c>
      <c r="C17" t="str">
        <f>IF(B2="Type II: Energy efficiency project activities that aim to achieve energy savings at a scale of no more than 20 GWh per year.","Yes","NA")</f>
        <v>NA</v>
      </c>
      <c r="D17" t="s">
        <v>1679</v>
      </c>
      <c r="E17" t="s">
        <v>187</v>
      </c>
      <c r="F17" t="s">
        <v>16</v>
      </c>
    </row>
    <row r="18" spans="1:6" s="4" customFormat="1" ht="16.5" thickTop="1" thickBot="1">
      <c r="A18" s="3" t="s">
        <v>103</v>
      </c>
      <c r="B18" s="76" t="str">
        <f>IF(OR(B16="Yes",B17="Yes"),"Additional","Nil")</f>
        <v>Nil</v>
      </c>
      <c r="C18" s="4" t="str">
        <f>IF(B2="Type II: Energy efficiency project activities that aim to achieve energy savings at a scale of no more than 20 GWh per year.","Yes","NA")</f>
        <v>NA</v>
      </c>
      <c r="E18" s="4" t="s">
        <v>200</v>
      </c>
      <c r="F18" s="4" t="s">
        <v>16</v>
      </c>
    </row>
    <row r="19" spans="1:6" s="14" customFormat="1" ht="15.75" thickTop="1">
      <c r="A19" s="14" t="s">
        <v>1686</v>
      </c>
      <c r="C19" s="14" t="str">
        <f>IF(B2="Type III: Other project activities not included in Type I or Type II that aim to achieve GHG emissions reductions at a scale of no more than 20 ktCO2e per year.","Yes","NA")</f>
        <v>NA</v>
      </c>
      <c r="D19" s="14" t="s">
        <v>1677</v>
      </c>
    </row>
    <row r="20" spans="1:6">
      <c r="A20" t="s">
        <v>1684</v>
      </c>
      <c r="B20" t="s">
        <v>16</v>
      </c>
      <c r="C20" t="str">
        <f>IF(B2="Type III: Other project activities not included in Type I or Type II that aim to achieve GHG emissions reductions at a scale of no more than 20 ktCO2e per year.","Yes","NA")</f>
        <v>NA</v>
      </c>
      <c r="D20" t="s">
        <v>1679</v>
      </c>
      <c r="E20" t="s">
        <v>187</v>
      </c>
      <c r="F20" t="s">
        <v>16</v>
      </c>
    </row>
    <row r="21" spans="1:6" ht="15.75" thickBot="1">
      <c r="A21" t="s">
        <v>1687</v>
      </c>
      <c r="B21" t="s">
        <v>16</v>
      </c>
      <c r="C21" t="str">
        <f>IF(B2="Type III: Other project activities not included in Type I or Type II that aim to achieve GHG emissions reductions at a scale of no more than 20 ktCO2e per year.","Yes","NA")</f>
        <v>NA</v>
      </c>
      <c r="D21" t="s">
        <v>1679</v>
      </c>
      <c r="E21" t="s">
        <v>187</v>
      </c>
      <c r="F21" t="s">
        <v>16</v>
      </c>
    </row>
    <row r="22" spans="1:6" s="4" customFormat="1" ht="16.5" thickTop="1" thickBot="1">
      <c r="A22" s="3" t="s">
        <v>103</v>
      </c>
      <c r="B22" s="76" t="str">
        <f>IF(OR(B20="Yes",B21="Yes"),"Additional","Nil")</f>
        <v>Nil</v>
      </c>
      <c r="C22" s="4" t="str">
        <f>IF(B2="Type III: Other project activities not included in Type I or Type II that aim to achieve GHG emissions reductions at a scale of no more than 20 ktCO2e per year.","Yes","NA")</f>
        <v>NA</v>
      </c>
      <c r="E22" s="4" t="s">
        <v>200</v>
      </c>
      <c r="F22" s="4" t="s">
        <v>16</v>
      </c>
    </row>
    <row r="23" spans="1:6" s="14" customFormat="1" ht="15.75" thickTop="1">
      <c r="A23" s="14" t="s">
        <v>1688</v>
      </c>
      <c r="C23" s="14" t="s">
        <v>16</v>
      </c>
    </row>
    <row r="24" spans="1:6">
      <c r="A24" t="s">
        <v>1689</v>
      </c>
      <c r="B24" s="159" t="s">
        <v>1690</v>
      </c>
      <c r="C24" t="s">
        <v>16</v>
      </c>
      <c r="D24" t="s">
        <v>1691</v>
      </c>
      <c r="E24" t="s">
        <v>91</v>
      </c>
      <c r="F24" t="s">
        <v>16</v>
      </c>
    </row>
    <row r="25" spans="1:6" ht="15.75" thickBot="1">
      <c r="A25" t="s">
        <v>1692</v>
      </c>
      <c r="B25" s="159" t="s">
        <v>1690</v>
      </c>
      <c r="C25" t="s">
        <v>16</v>
      </c>
      <c r="D25" t="s">
        <v>1693</v>
      </c>
      <c r="E25" t="s">
        <v>91</v>
      </c>
      <c r="F25" t="s">
        <v>16</v>
      </c>
    </row>
    <row r="26" spans="1:6" s="4" customFormat="1" ht="16.5" thickTop="1" thickBot="1">
      <c r="A26" s="3" t="s">
        <v>103</v>
      </c>
      <c r="B26" s="76" t="str">
        <f>IF(OR(B24&lt;=0.025,B25&lt;=0.015),"Additional","Nil")</f>
        <v>Nil</v>
      </c>
      <c r="C26" s="4" t="s">
        <v>16</v>
      </c>
      <c r="E26" s="4" t="s">
        <v>200</v>
      </c>
      <c r="F26" s="4" t="s">
        <v>16</v>
      </c>
    </row>
    <row r="27" spans="1:6" ht="15.75" thickTop="1"/>
    <row r="28" spans="1:6" ht="15.75" thickBot="1"/>
    <row r="29" spans="1:6" s="160" customFormat="1" ht="20.25" thickTop="1" thickBot="1">
      <c r="A29" s="160" t="s">
        <v>1694</v>
      </c>
      <c r="B29" s="161" t="str">
        <f>IF(B8="NA","NA",IF(OR(B14="Additional",B18="Additional",B22="Additional",B26="Additional"),"Additional","Not Additional"))</f>
        <v>Additional</v>
      </c>
      <c r="E29" s="160" t="s">
        <v>1423</v>
      </c>
      <c r="F29" s="160" t="s">
        <v>16</v>
      </c>
    </row>
    <row r="30" spans="1:6" ht="15.75" thickTop="1"/>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7DA39E5E-82EE-41DD-8923-984C5F041C72}">
          <x14:formula1>
            <xm:f>'Tool 19 Dropdown Items'!$B$2:$B$4</xm:f>
          </x14:formula1>
          <xm:sqref>B3:B7 B10:B13 B16:B17 B20:B21</xm:sqref>
        </x14:dataValidation>
        <x14:dataValidation type="list" allowBlank="1" showInputMessage="1" showErrorMessage="1" xr:uid="{54BF9BC3-B817-4E9A-86EB-7707E13BAE26}">
          <x14:formula1>
            <xm:f>'Tool 19 Dropdown Items'!$A$2:$A$5</xm:f>
          </x14:formula1>
          <xm:sqref>B2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78148-B26F-4406-9573-8334648A3CBD}">
  <dimension ref="A1:B5"/>
  <sheetViews>
    <sheetView workbookViewId="0">
      <selection activeCell="B29" sqref="B29"/>
    </sheetView>
  </sheetViews>
  <sheetFormatPr defaultRowHeight="15"/>
  <cols>
    <col min="1" max="1" width="22.42578125" customWidth="1"/>
  </cols>
  <sheetData>
    <row r="1" spans="1:2" s="2" customFormat="1">
      <c r="A1" s="2" t="s">
        <v>1695</v>
      </c>
      <c r="B1" s="2" t="s">
        <v>1696</v>
      </c>
    </row>
    <row r="2" spans="1:2">
      <c r="A2" t="s">
        <v>1667</v>
      </c>
      <c r="B2" t="s">
        <v>14</v>
      </c>
    </row>
    <row r="3" spans="1:2">
      <c r="A3" t="s">
        <v>1697</v>
      </c>
      <c r="B3" t="s">
        <v>16</v>
      </c>
    </row>
    <row r="4" spans="1:2">
      <c r="A4" t="s">
        <v>1686</v>
      </c>
      <c r="B4" t="s">
        <v>11</v>
      </c>
    </row>
    <row r="5" spans="1:2">
      <c r="A5" t="s">
        <v>11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0391C-C4A8-4E1F-96A4-27A5436C19AF}">
  <dimension ref="A1"/>
  <sheetViews>
    <sheetView workbookViewId="0">
      <selection activeCell="B29" sqref="B29"/>
    </sheetView>
  </sheetViews>
  <sheetFormatPr defaultRowHeight="15"/>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0C7D4-4CA1-4799-87C1-B3006A4DEA60}">
  <dimension ref="A1:H20"/>
  <sheetViews>
    <sheetView topLeftCell="A8" workbookViewId="0">
      <selection activeCell="E14" sqref="E14"/>
    </sheetView>
  </sheetViews>
  <sheetFormatPr defaultRowHeight="15"/>
  <cols>
    <col min="1" max="1" width="17.5703125" customWidth="1"/>
    <col min="2" max="2" width="13.7109375" customWidth="1"/>
    <col min="3" max="3" width="21.85546875" customWidth="1"/>
    <col min="4" max="4" width="16" customWidth="1"/>
    <col min="5" max="5" width="60.85546875" customWidth="1"/>
    <col min="6" max="6" width="34.85546875" customWidth="1"/>
    <col min="7" max="7" width="55.7109375" customWidth="1"/>
  </cols>
  <sheetData>
    <row r="1" spans="1:8" ht="37.5">
      <c r="A1" s="29" t="s">
        <v>360</v>
      </c>
      <c r="B1" s="29" t="s">
        <v>9</v>
      </c>
      <c r="C1" s="30" t="s">
        <v>361</v>
      </c>
      <c r="D1" s="29" t="s">
        <v>7</v>
      </c>
      <c r="E1" s="31" t="s">
        <v>362</v>
      </c>
      <c r="F1" s="31" t="s">
        <v>363</v>
      </c>
      <c r="G1" s="30" t="s">
        <v>364</v>
      </c>
      <c r="H1" s="99"/>
    </row>
    <row r="2" spans="1:8" ht="42" customHeight="1">
      <c r="A2" s="187" t="s">
        <v>1698</v>
      </c>
      <c r="B2" s="187"/>
      <c r="C2" s="187"/>
      <c r="D2" s="187"/>
      <c r="E2" s="187"/>
      <c r="F2" s="187"/>
      <c r="G2" s="187"/>
      <c r="H2" s="59"/>
    </row>
    <row r="3" spans="1:8" ht="30">
      <c r="A3" s="25" t="s">
        <v>14</v>
      </c>
      <c r="B3" s="25"/>
      <c r="C3" s="25" t="s">
        <v>16</v>
      </c>
      <c r="D3" s="25" t="s">
        <v>668</v>
      </c>
      <c r="E3" s="26" t="s">
        <v>1699</v>
      </c>
      <c r="F3" s="25" t="s">
        <v>1700</v>
      </c>
      <c r="G3" s="26"/>
    </row>
    <row r="4" spans="1:8" ht="42" customHeight="1">
      <c r="A4" s="187" t="s">
        <v>1701</v>
      </c>
      <c r="B4" s="187"/>
      <c r="C4" s="187"/>
      <c r="D4" s="187"/>
      <c r="E4" s="187"/>
      <c r="F4" s="187"/>
      <c r="G4" s="187"/>
      <c r="H4" s="59"/>
    </row>
    <row r="5" spans="1:8" ht="45">
      <c r="A5" s="25" t="s">
        <v>14</v>
      </c>
      <c r="B5" s="25"/>
      <c r="C5" s="25" t="s">
        <v>16</v>
      </c>
      <c r="D5" s="25" t="s">
        <v>668</v>
      </c>
      <c r="E5" s="26" t="s">
        <v>1702</v>
      </c>
      <c r="F5" s="25" t="s">
        <v>14</v>
      </c>
      <c r="G5" s="26" t="s">
        <v>1703</v>
      </c>
    </row>
    <row r="6" spans="1:8" ht="45">
      <c r="A6" s="25" t="s">
        <v>14</v>
      </c>
      <c r="B6" s="25"/>
      <c r="C6" s="25" t="s">
        <v>16</v>
      </c>
      <c r="D6" s="25" t="s">
        <v>668</v>
      </c>
      <c r="E6" s="26" t="s">
        <v>1704</v>
      </c>
      <c r="F6" s="25" t="s">
        <v>16</v>
      </c>
      <c r="G6" s="26" t="s">
        <v>1705</v>
      </c>
    </row>
    <row r="7" spans="1:8" ht="60">
      <c r="A7" s="25" t="s">
        <v>14</v>
      </c>
      <c r="B7" s="25"/>
      <c r="C7" s="25" t="s">
        <v>16</v>
      </c>
      <c r="D7" s="25" t="s">
        <v>668</v>
      </c>
      <c r="E7" s="26" t="s">
        <v>1706</v>
      </c>
      <c r="F7" s="25" t="s">
        <v>14</v>
      </c>
      <c r="G7" s="26" t="s">
        <v>1707</v>
      </c>
    </row>
    <row r="8" spans="1:8" ht="150">
      <c r="A8" s="25" t="s">
        <v>14</v>
      </c>
      <c r="B8" s="25"/>
      <c r="C8" s="25" t="s">
        <v>16</v>
      </c>
      <c r="D8" s="25" t="s">
        <v>668</v>
      </c>
      <c r="E8" s="26" t="s">
        <v>1708</v>
      </c>
      <c r="F8" s="25" t="s">
        <v>16</v>
      </c>
      <c r="G8" s="26" t="s">
        <v>1709</v>
      </c>
    </row>
    <row r="9" spans="1:8" ht="42" customHeight="1">
      <c r="A9" s="187" t="s">
        <v>1710</v>
      </c>
      <c r="B9" s="187"/>
      <c r="C9" s="187"/>
      <c r="D9" s="187"/>
      <c r="E9" s="187"/>
      <c r="F9" s="187"/>
      <c r="G9" s="187"/>
      <c r="H9" s="59"/>
    </row>
    <row r="10" spans="1:8" ht="45">
      <c r="A10" s="25" t="s">
        <v>14</v>
      </c>
      <c r="B10" s="25"/>
      <c r="C10" s="25" t="s">
        <v>16</v>
      </c>
      <c r="D10" s="25" t="s">
        <v>668</v>
      </c>
      <c r="E10" s="26" t="s">
        <v>1711</v>
      </c>
      <c r="F10" s="25" t="s">
        <v>14</v>
      </c>
      <c r="G10" s="26" t="s">
        <v>1712</v>
      </c>
    </row>
    <row r="11" spans="1:8" ht="45">
      <c r="A11" s="25" t="s">
        <v>14</v>
      </c>
      <c r="B11" s="25"/>
      <c r="C11" s="25" t="s">
        <v>16</v>
      </c>
      <c r="D11" s="25" t="s">
        <v>668</v>
      </c>
      <c r="E11" s="26" t="s">
        <v>1713</v>
      </c>
      <c r="F11" s="25" t="s">
        <v>16</v>
      </c>
      <c r="G11" s="5" t="s">
        <v>1714</v>
      </c>
    </row>
    <row r="12" spans="1:8" ht="60">
      <c r="A12" s="25" t="s">
        <v>14</v>
      </c>
      <c r="B12" s="25"/>
      <c r="C12" s="25" t="s">
        <v>16</v>
      </c>
      <c r="D12" s="25" t="s">
        <v>668</v>
      </c>
      <c r="E12" s="26" t="s">
        <v>1715</v>
      </c>
      <c r="F12" s="25"/>
      <c r="G12" s="26" t="s">
        <v>1716</v>
      </c>
    </row>
    <row r="13" spans="1:8" ht="45">
      <c r="A13" s="25" t="s">
        <v>14</v>
      </c>
      <c r="B13" s="25"/>
      <c r="C13" s="25" t="s">
        <v>16</v>
      </c>
      <c r="D13" s="25" t="s">
        <v>668</v>
      </c>
      <c r="E13" s="26" t="s">
        <v>1717</v>
      </c>
      <c r="F13" s="25" t="s">
        <v>14</v>
      </c>
      <c r="G13" s="26" t="s">
        <v>1716</v>
      </c>
    </row>
    <row r="14" spans="1:8" ht="150">
      <c r="A14" s="25" t="s">
        <v>14</v>
      </c>
      <c r="B14" s="25"/>
      <c r="C14" s="25" t="s">
        <v>16</v>
      </c>
      <c r="D14" s="25" t="s">
        <v>668</v>
      </c>
      <c r="E14" s="26" t="s">
        <v>1718</v>
      </c>
      <c r="F14" s="25" t="s">
        <v>14</v>
      </c>
      <c r="G14" s="5" t="s">
        <v>1719</v>
      </c>
    </row>
    <row r="15" spans="1:8" ht="42" customHeight="1">
      <c r="A15" s="187" t="s">
        <v>1720</v>
      </c>
      <c r="B15" s="187"/>
      <c r="C15" s="187"/>
      <c r="D15" s="187"/>
      <c r="E15" s="187"/>
      <c r="F15" s="187"/>
      <c r="G15" s="187"/>
      <c r="H15" s="59"/>
    </row>
    <row r="16" spans="1:8" ht="45">
      <c r="A16" t="s">
        <v>14</v>
      </c>
      <c r="C16" t="s">
        <v>14</v>
      </c>
      <c r="D16" t="s">
        <v>5</v>
      </c>
      <c r="E16" s="1" t="s">
        <v>1721</v>
      </c>
    </row>
    <row r="17" spans="1:5" ht="30">
      <c r="A17" t="s">
        <v>14</v>
      </c>
      <c r="C17" t="s">
        <v>14</v>
      </c>
      <c r="D17" t="s">
        <v>15</v>
      </c>
      <c r="E17" s="1" t="s">
        <v>1722</v>
      </c>
    </row>
    <row r="18" spans="1:5" ht="75">
      <c r="A18" t="s">
        <v>14</v>
      </c>
      <c r="C18" t="s">
        <v>14</v>
      </c>
      <c r="D18" t="s">
        <v>15</v>
      </c>
      <c r="E18" s="1" t="s">
        <v>1723</v>
      </c>
    </row>
    <row r="19" spans="1:5" ht="45">
      <c r="A19" t="s">
        <v>14</v>
      </c>
      <c r="C19" t="s">
        <v>14</v>
      </c>
      <c r="D19" t="s">
        <v>15</v>
      </c>
      <c r="E19" s="1" t="s">
        <v>1724</v>
      </c>
    </row>
    <row r="20" spans="1:5" ht="75">
      <c r="A20" t="s">
        <v>14</v>
      </c>
      <c r="C20" t="s">
        <v>14</v>
      </c>
      <c r="D20" t="s">
        <v>15</v>
      </c>
      <c r="E20" s="1" t="s">
        <v>1725</v>
      </c>
    </row>
  </sheetData>
  <mergeCells count="4">
    <mergeCell ref="A2:G2"/>
    <mergeCell ref="A4:G4"/>
    <mergeCell ref="A9:G9"/>
    <mergeCell ref="A15:G15"/>
  </mergeCells>
  <dataValidations count="2">
    <dataValidation type="list" allowBlank="1" showInputMessage="1" showErrorMessage="1" sqref="F5:F8 F10:F14" xr:uid="{8E65A7EA-0213-4CB9-B869-80CC192E64C1}">
      <formula1>"Yes,No"</formula1>
    </dataValidation>
    <dataValidation type="list" allowBlank="1" showInputMessage="1" showErrorMessage="1" sqref="F3" xr:uid="{3CFAC384-38CD-482C-87E0-58DB47413682}">
      <formula1>"PA,CPA"</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574DF-90D1-423F-A61D-33868D08CAC7}">
  <dimension ref="A1:G29"/>
  <sheetViews>
    <sheetView workbookViewId="0">
      <selection activeCell="A23" sqref="A23"/>
    </sheetView>
  </sheetViews>
  <sheetFormatPr defaultRowHeight="15"/>
  <cols>
    <col min="1" max="1" width="66.42578125" style="1" customWidth="1"/>
    <col min="2" max="2" width="18.5703125" customWidth="1"/>
    <col min="4" max="4" width="13.85546875" customWidth="1"/>
    <col min="5" max="5" width="14.28515625" customWidth="1"/>
    <col min="6" max="6" width="16" customWidth="1"/>
  </cols>
  <sheetData>
    <row r="1" spans="1:7" s="14" customFormat="1">
      <c r="A1" s="15" t="s">
        <v>362</v>
      </c>
      <c r="B1" s="14" t="s">
        <v>3</v>
      </c>
      <c r="C1" s="14" t="s">
        <v>4</v>
      </c>
      <c r="D1" s="14" t="s">
        <v>364</v>
      </c>
      <c r="E1" s="14" t="s">
        <v>7</v>
      </c>
      <c r="F1" s="14" t="s">
        <v>361</v>
      </c>
      <c r="G1" s="14" t="s">
        <v>9</v>
      </c>
    </row>
    <row r="2" spans="1:7">
      <c r="A2" s="1" t="s">
        <v>1726</v>
      </c>
      <c r="B2" t="s">
        <v>14</v>
      </c>
      <c r="D2" t="s">
        <v>1727</v>
      </c>
      <c r="E2" t="s">
        <v>28</v>
      </c>
    </row>
    <row r="3" spans="1:7" ht="45">
      <c r="A3" s="1" t="s">
        <v>1728</v>
      </c>
      <c r="B3" t="s">
        <v>14</v>
      </c>
      <c r="D3" t="s">
        <v>1727</v>
      </c>
      <c r="E3" t="s">
        <v>28</v>
      </c>
    </row>
    <row r="4" spans="1:7" ht="45">
      <c r="A4" s="1" t="s">
        <v>1729</v>
      </c>
      <c r="B4" t="s">
        <v>16</v>
      </c>
      <c r="D4" t="s">
        <v>1674</v>
      </c>
      <c r="E4" t="s">
        <v>28</v>
      </c>
    </row>
    <row r="5" spans="1:7">
      <c r="A5" s="1" t="s">
        <v>1637</v>
      </c>
      <c r="B5" s="22" t="str">
        <f>IF(OR(B2="No",B3="No",B4="Yes"),"NA","Applicable")</f>
        <v>Applicable</v>
      </c>
      <c r="E5" t="s">
        <v>102</v>
      </c>
    </row>
    <row r="6" spans="1:7" s="14" customFormat="1">
      <c r="A6" s="15" t="s">
        <v>1730</v>
      </c>
    </row>
    <row r="7" spans="1:7">
      <c r="A7" s="1" t="s">
        <v>1731</v>
      </c>
      <c r="B7" t="s">
        <v>1732</v>
      </c>
      <c r="D7" t="s">
        <v>1733</v>
      </c>
      <c r="E7" t="s">
        <v>28</v>
      </c>
    </row>
    <row r="8" spans="1:7">
      <c r="A8" s="1" t="s">
        <v>1734</v>
      </c>
      <c r="B8" t="s">
        <v>1735</v>
      </c>
      <c r="D8" t="s">
        <v>1733</v>
      </c>
      <c r="E8" t="s">
        <v>28</v>
      </c>
    </row>
    <row r="9" spans="1:7">
      <c r="A9" s="202" t="s">
        <v>1736</v>
      </c>
      <c r="B9" s="203"/>
    </row>
    <row r="10" spans="1:7">
      <c r="A10" s="1" t="s">
        <v>1737</v>
      </c>
      <c r="B10" s="22" t="str">
        <f>IF(AND(B7="Biomass from forests",B8="New forests"),"Included",IF(AND(B7="Biomass from croplands or grasslands (woody or nonwoody)",B8="In the absence of the project the land would be used as cropland/wetland"),"Included","Not Included"))</f>
        <v>Not Included</v>
      </c>
      <c r="D10" t="s">
        <v>1738</v>
      </c>
      <c r="E10" t="s">
        <v>102</v>
      </c>
    </row>
    <row r="11" spans="1:7">
      <c r="A11" s="1" t="s">
        <v>1739</v>
      </c>
      <c r="B11" s="22" t="str">
        <f>IF(AND(B7="Biomass from forests",B8="New forests"),"Included",IF(AND(B7="Biomass from croplands or grasslands (woody or nonwoody)",B8="In the absence of the project the land would be used as cropland/wetland"),"Included",IF(AND(B7="Biomass from croplands or grasslands (woody or nonwoody)",B8="In the absence of the project the land would be abandoned"),"Included","Not Included")))</f>
        <v>Not Included</v>
      </c>
      <c r="D11" t="s">
        <v>1738</v>
      </c>
      <c r="E11" t="s">
        <v>102</v>
      </c>
    </row>
    <row r="12" spans="1:7">
      <c r="A12" s="1" t="s">
        <v>1740</v>
      </c>
      <c r="B12" s="22" t="str">
        <f>IF(AND(B7="Biomass from forests",B8="Existing forests"),"Included",IF(AND(B7="Biomass residues or wastes",B8="Biomass residues or wastes are collected and used"),"Included","Not Included"))</f>
        <v>Included</v>
      </c>
      <c r="D12" t="s">
        <v>1738</v>
      </c>
      <c r="E12" t="s">
        <v>102</v>
      </c>
    </row>
    <row r="13" spans="1:7" s="14" customFormat="1">
      <c r="A13" s="15" t="s">
        <v>1737</v>
      </c>
      <c r="C13" s="14" t="str">
        <f>IF(B10="Included","Yes","NA")</f>
        <v>NA</v>
      </c>
    </row>
    <row r="14" spans="1:7" ht="45">
      <c r="A14" s="1" t="s">
        <v>1741</v>
      </c>
      <c r="B14" s="85"/>
      <c r="C14" t="str">
        <f>IF(B10="Included","Yes","NA")</f>
        <v>NA</v>
      </c>
      <c r="E14" t="s">
        <v>91</v>
      </c>
    </row>
    <row r="15" spans="1:7" ht="45">
      <c r="A15" s="1" t="s">
        <v>1742</v>
      </c>
      <c r="B15" s="85"/>
      <c r="C15" t="str">
        <f>IF(B10="Included","Yes","NA")</f>
        <v>NA</v>
      </c>
      <c r="E15" t="s">
        <v>91</v>
      </c>
    </row>
    <row r="16" spans="1:7">
      <c r="A16" s="1" t="s">
        <v>1743</v>
      </c>
      <c r="B16" s="22">
        <f>IF(AND(B14&lt;0.1,B15&lt;0.1),0,IF(OR(B14&gt;0.5,B15&gt;0.5),"Tool NA",IF(OR(B14&gt;0.1,B15&gt;0.1),"=(BE-PE)*.15")))</f>
        <v>0</v>
      </c>
      <c r="C16" t="str">
        <f>IF(B10="Included","Yes","NA")</f>
        <v>NA</v>
      </c>
      <c r="D16" t="s">
        <v>1593</v>
      </c>
      <c r="E16" t="s">
        <v>102</v>
      </c>
    </row>
    <row r="17" spans="1:5" s="14" customFormat="1">
      <c r="A17" s="15" t="s">
        <v>1744</v>
      </c>
      <c r="C17" s="14" t="str">
        <f>IF(B11="Included","Yes","NA")</f>
        <v>NA</v>
      </c>
    </row>
    <row r="18" spans="1:5">
      <c r="A18" s="1" t="s">
        <v>1745</v>
      </c>
      <c r="B18" s="22" t="str">
        <f>IF(B11="Included","Potentially Significant","NA")</f>
        <v>NA</v>
      </c>
      <c r="C18" t="str">
        <f>IF(B11="Included","Yes","NA")</f>
        <v>NA</v>
      </c>
      <c r="E18" t="s">
        <v>102</v>
      </c>
    </row>
    <row r="19" spans="1:5">
      <c r="A19" s="1" t="s">
        <v>1746</v>
      </c>
      <c r="B19" s="22" t="str">
        <f>IF(B11="Included","Potentially Significant","NA")</f>
        <v>NA</v>
      </c>
      <c r="C19" t="str">
        <f>IF(B11="Included","Yes","NA")</f>
        <v>NA</v>
      </c>
      <c r="E19" t="s">
        <v>102</v>
      </c>
    </row>
    <row r="20" spans="1:5" s="14" customFormat="1">
      <c r="A20" s="15" t="s">
        <v>1747</v>
      </c>
      <c r="C20" s="14" t="str">
        <f>IF(B12="Included","Yes","NA")</f>
        <v>Yes</v>
      </c>
    </row>
    <row r="21" spans="1:5" ht="30">
      <c r="A21" s="1" t="s">
        <v>1748</v>
      </c>
      <c r="B21" t="s">
        <v>16</v>
      </c>
      <c r="C21" t="str">
        <f>IF(B12="Included","Yes","NA")</f>
        <v>Yes</v>
      </c>
      <c r="D21" t="s">
        <v>1749</v>
      </c>
      <c r="E21" t="s">
        <v>28</v>
      </c>
    </row>
    <row r="22" spans="1:5" ht="45">
      <c r="A22" s="1" t="s">
        <v>1750</v>
      </c>
      <c r="B22" t="s">
        <v>16</v>
      </c>
      <c r="C22" t="str">
        <f>IF(B12="Included","Yes","NA")</f>
        <v>Yes</v>
      </c>
      <c r="D22" t="s">
        <v>1749</v>
      </c>
      <c r="E22" t="s">
        <v>28</v>
      </c>
    </row>
    <row r="23" spans="1:5">
      <c r="A23" s="1" t="s">
        <v>1751</v>
      </c>
      <c r="B23" s="22" t="str">
        <f>IF(OR(B12="Not Included",B21="Yes",B22="Yes"),"NA","To be estimated and deducted")</f>
        <v>To be estimated and deducted</v>
      </c>
      <c r="C23" t="str">
        <f>IF(B12="Included","Yes","NA")</f>
        <v>Yes</v>
      </c>
      <c r="D23" s="1"/>
      <c r="E23" t="s">
        <v>102</v>
      </c>
    </row>
    <row r="29" spans="1:5">
      <c r="A29" s="16"/>
    </row>
  </sheetData>
  <mergeCells count="1">
    <mergeCell ref="A9:B9"/>
  </mergeCell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AC99D077-EC69-4424-AB10-16734D00229C}">
          <x14:formula1>
            <xm:f>'Tool 22 Dropdown Items'!$D$2:$D$4</xm:f>
          </x14:formula1>
          <xm:sqref>B21:B22 B2:B4</xm:sqref>
        </x14:dataValidation>
        <x14:dataValidation type="list" allowBlank="1" showInputMessage="1" showErrorMessage="1" xr:uid="{520E81E0-2EB4-4FEB-AB99-6153DA632CF9}">
          <x14:formula1>
            <xm:f>'Tool 22 Dropdown Items'!$B$2:$B$6</xm:f>
          </x14:formula1>
          <xm:sqref>B8</xm:sqref>
        </x14:dataValidation>
        <x14:dataValidation type="list" allowBlank="1" showInputMessage="1" showErrorMessage="1" xr:uid="{C9A3E0D3-0CE1-43D2-AD97-864EEBF86C67}">
          <x14:formula1>
            <xm:f>'Tool 22 Dropdown Items'!$A$2:$A$4</xm:f>
          </x14:formula1>
          <xm:sqref>B7</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442C1-060F-4FEB-BCB7-D54C3EEFCB7A}">
  <dimension ref="A1:D6"/>
  <sheetViews>
    <sheetView workbookViewId="0">
      <selection activeCell="A23" sqref="A23"/>
    </sheetView>
  </sheetViews>
  <sheetFormatPr defaultRowHeight="15"/>
  <cols>
    <col min="1" max="1" width="50.28515625" customWidth="1"/>
  </cols>
  <sheetData>
    <row r="1" spans="1:4" s="2" customFormat="1">
      <c r="A1" s="2" t="s">
        <v>1752</v>
      </c>
      <c r="B1" s="2" t="s">
        <v>1753</v>
      </c>
      <c r="D1" s="2" t="s">
        <v>1696</v>
      </c>
    </row>
    <row r="2" spans="1:4">
      <c r="A2" t="s">
        <v>1754</v>
      </c>
      <c r="B2" t="s">
        <v>1755</v>
      </c>
      <c r="D2" t="s">
        <v>14</v>
      </c>
    </row>
    <row r="3" spans="1:4">
      <c r="A3" t="s">
        <v>1756</v>
      </c>
      <c r="B3" t="s">
        <v>1757</v>
      </c>
      <c r="D3" t="s">
        <v>16</v>
      </c>
    </row>
    <row r="4" spans="1:4">
      <c r="A4" t="s">
        <v>1732</v>
      </c>
      <c r="B4" t="s">
        <v>1758</v>
      </c>
      <c r="D4" t="s">
        <v>11</v>
      </c>
    </row>
    <row r="5" spans="1:4">
      <c r="B5" t="s">
        <v>1759</v>
      </c>
    </row>
    <row r="6" spans="1:4">
      <c r="B6" t="s">
        <v>1735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04F19-D81F-40D1-8C16-A3808AA0BB18}">
  <dimension ref="A1"/>
  <sheetViews>
    <sheetView topLeftCell="A4" workbookViewId="0">
      <selection activeCell="A23" sqref="A23"/>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C1C11-F743-4FFA-B2BB-D2E728E0428C}">
  <dimension ref="A1:E11"/>
  <sheetViews>
    <sheetView topLeftCell="B1" workbookViewId="0">
      <selection activeCell="C9" sqref="C9"/>
    </sheetView>
  </sheetViews>
  <sheetFormatPr defaultRowHeight="15"/>
  <cols>
    <col min="2" max="2" width="59.28515625" customWidth="1"/>
    <col min="3" max="3" width="54.85546875" style="1" customWidth="1"/>
    <col min="4" max="4" width="45.42578125" customWidth="1"/>
  </cols>
  <sheetData>
    <row r="1" spans="1:5" s="2" customFormat="1" ht="30">
      <c r="C1" s="11" t="s">
        <v>343</v>
      </c>
      <c r="E1" s="2" t="s">
        <v>344</v>
      </c>
    </row>
    <row r="2" spans="1:5" ht="30">
      <c r="A2" t="s">
        <v>14</v>
      </c>
      <c r="B2" t="s">
        <v>345</v>
      </c>
      <c r="C2" s="1" t="s">
        <v>346</v>
      </c>
      <c r="D2" t="s">
        <v>347</v>
      </c>
      <c r="E2" t="s">
        <v>348</v>
      </c>
    </row>
    <row r="3" spans="1:5" ht="45">
      <c r="A3" t="s">
        <v>16</v>
      </c>
      <c r="B3" t="s">
        <v>349</v>
      </c>
      <c r="C3" s="23" t="s">
        <v>350</v>
      </c>
      <c r="D3" t="s">
        <v>274</v>
      </c>
      <c r="E3" t="s">
        <v>27</v>
      </c>
    </row>
    <row r="4" spans="1:5">
      <c r="A4" t="s">
        <v>11</v>
      </c>
      <c r="B4" t="s">
        <v>351</v>
      </c>
      <c r="C4" s="23" t="s">
        <v>108</v>
      </c>
      <c r="E4" t="s">
        <v>352</v>
      </c>
    </row>
    <row r="5" spans="1:5" ht="60">
      <c r="B5" t="s">
        <v>11</v>
      </c>
      <c r="C5" s="1" t="s">
        <v>353</v>
      </c>
    </row>
    <row r="6" spans="1:5" ht="60">
      <c r="C6" s="23" t="s">
        <v>354</v>
      </c>
    </row>
    <row r="7" spans="1:5" ht="58.9" customHeight="1">
      <c r="C7" s="23" t="s">
        <v>355</v>
      </c>
    </row>
    <row r="8" spans="1:5" ht="75">
      <c r="C8" s="1" t="s">
        <v>356</v>
      </c>
    </row>
    <row r="9" spans="1:5" ht="30">
      <c r="C9" s="1" t="s">
        <v>357</v>
      </c>
    </row>
    <row r="10" spans="1:5" ht="105">
      <c r="C10" s="1" t="s">
        <v>358</v>
      </c>
    </row>
    <row r="11" spans="1:5" ht="45">
      <c r="C11" s="23" t="s">
        <v>359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BFD56-9BF9-4375-BA05-F9E6680811C2}">
  <dimension ref="A1:B481"/>
  <sheetViews>
    <sheetView zoomScale="120" zoomScaleNormal="120" workbookViewId="0">
      <selection activeCell="G10" sqref="G10"/>
    </sheetView>
  </sheetViews>
  <sheetFormatPr defaultColWidth="8.85546875" defaultRowHeight="15"/>
  <cols>
    <col min="1" max="1" width="53.28515625" bestFit="1" customWidth="1"/>
    <col min="2" max="2" width="150.5703125" customWidth="1"/>
  </cols>
  <sheetData>
    <row r="1" spans="1:2">
      <c r="A1" s="163" t="s">
        <v>1760</v>
      </c>
      <c r="B1" s="164" t="s">
        <v>1761</v>
      </c>
    </row>
    <row r="2" spans="1:2">
      <c r="A2" t="s">
        <v>1762</v>
      </c>
      <c r="B2" t="s">
        <v>1763</v>
      </c>
    </row>
    <row r="3" spans="1:2">
      <c r="A3" t="s">
        <v>40</v>
      </c>
      <c r="B3" t="s">
        <v>1764</v>
      </c>
    </row>
    <row r="4" spans="1:2">
      <c r="A4" t="s">
        <v>1765</v>
      </c>
      <c r="B4" t="s">
        <v>1766</v>
      </c>
    </row>
    <row r="5" spans="1:2">
      <c r="A5" t="s">
        <v>48</v>
      </c>
      <c r="B5" t="s">
        <v>1767</v>
      </c>
    </row>
    <row r="6" spans="1:2">
      <c r="A6" t="s">
        <v>1768</v>
      </c>
      <c r="B6" t="s">
        <v>1769</v>
      </c>
    </row>
    <row r="7" spans="1:2">
      <c r="A7" t="s">
        <v>1770</v>
      </c>
      <c r="B7" t="s">
        <v>1771</v>
      </c>
    </row>
    <row r="8" spans="1:2">
      <c r="A8" t="s">
        <v>1772</v>
      </c>
      <c r="B8" t="s">
        <v>1773</v>
      </c>
    </row>
    <row r="9" spans="1:2">
      <c r="A9" t="s">
        <v>1774</v>
      </c>
      <c r="B9" t="s">
        <v>1775</v>
      </c>
    </row>
    <row r="10" spans="1:2">
      <c r="A10" t="s">
        <v>1776</v>
      </c>
      <c r="B10" t="s">
        <v>1777</v>
      </c>
    </row>
    <row r="11" spans="1:2">
      <c r="A11" t="s">
        <v>1778</v>
      </c>
      <c r="B11" t="s">
        <v>1779</v>
      </c>
    </row>
    <row r="12" spans="1:2">
      <c r="A12" t="s">
        <v>1780</v>
      </c>
      <c r="B12" t="s">
        <v>1781</v>
      </c>
    </row>
    <row r="13" spans="1:2">
      <c r="A13" t="s">
        <v>1782</v>
      </c>
      <c r="B13" t="s">
        <v>1783</v>
      </c>
    </row>
    <row r="14" spans="1:2">
      <c r="A14" t="s">
        <v>1784</v>
      </c>
      <c r="B14" t="s">
        <v>1785</v>
      </c>
    </row>
    <row r="15" spans="1:2">
      <c r="A15" t="s">
        <v>1786</v>
      </c>
      <c r="B15" t="s">
        <v>1787</v>
      </c>
    </row>
    <row r="16" spans="1:2">
      <c r="A16" t="s">
        <v>1788</v>
      </c>
      <c r="B16" t="s">
        <v>1789</v>
      </c>
    </row>
    <row r="17" spans="1:2">
      <c r="A17" t="s">
        <v>1790</v>
      </c>
      <c r="B17" t="s">
        <v>1791</v>
      </c>
    </row>
    <row r="18" spans="1:2">
      <c r="A18" t="s">
        <v>1792</v>
      </c>
      <c r="B18" t="s">
        <v>1793</v>
      </c>
    </row>
    <row r="19" spans="1:2">
      <c r="A19" t="s">
        <v>17</v>
      </c>
      <c r="B19" t="s">
        <v>1794</v>
      </c>
    </row>
    <row r="20" spans="1:2">
      <c r="A20" t="s">
        <v>20</v>
      </c>
      <c r="B20" t="s">
        <v>1795</v>
      </c>
    </row>
    <row r="21" spans="1:2">
      <c r="A21" t="s">
        <v>25</v>
      </c>
      <c r="B21" t="s">
        <v>1796</v>
      </c>
    </row>
    <row r="22" spans="1:2">
      <c r="A22" t="s">
        <v>1797</v>
      </c>
      <c r="B22" t="s">
        <v>1798</v>
      </c>
    </row>
    <row r="23" spans="1:2">
      <c r="A23" t="s">
        <v>1799</v>
      </c>
      <c r="B23" t="s">
        <v>1800</v>
      </c>
    </row>
    <row r="24" spans="1:2">
      <c r="A24" t="s">
        <v>1801</v>
      </c>
      <c r="B24" t="s">
        <v>1802</v>
      </c>
    </row>
    <row r="25" spans="1:2">
      <c r="A25" t="s">
        <v>1803</v>
      </c>
      <c r="B25" t="s">
        <v>1804</v>
      </c>
    </row>
    <row r="26" spans="1:2">
      <c r="A26" t="s">
        <v>1805</v>
      </c>
      <c r="B26" t="s">
        <v>1806</v>
      </c>
    </row>
    <row r="27" spans="1:2">
      <c r="A27" t="s">
        <v>1807</v>
      </c>
      <c r="B27" t="s">
        <v>1808</v>
      </c>
    </row>
    <row r="28" spans="1:2">
      <c r="A28" t="s">
        <v>1809</v>
      </c>
      <c r="B28" t="s">
        <v>1810</v>
      </c>
    </row>
    <row r="29" spans="1:2">
      <c r="A29" t="s">
        <v>1811</v>
      </c>
      <c r="B29" t="s">
        <v>1812</v>
      </c>
    </row>
    <row r="30" spans="1:2">
      <c r="A30" t="s">
        <v>1813</v>
      </c>
      <c r="B30" t="s">
        <v>1814</v>
      </c>
    </row>
    <row r="31" spans="1:2">
      <c r="A31" t="s">
        <v>1815</v>
      </c>
      <c r="B31" t="s">
        <v>1816</v>
      </c>
    </row>
    <row r="32" spans="1:2">
      <c r="A32" t="s">
        <v>1817</v>
      </c>
      <c r="B32" t="s">
        <v>1818</v>
      </c>
    </row>
    <row r="33" spans="1:2">
      <c r="A33" t="s">
        <v>1819</v>
      </c>
      <c r="B33" t="s">
        <v>1820</v>
      </c>
    </row>
    <row r="34" spans="1:2">
      <c r="A34" s="165" t="s">
        <v>64</v>
      </c>
      <c r="B34" t="s">
        <v>1821</v>
      </c>
    </row>
    <row r="35" spans="1:2">
      <c r="A35" s="165" t="s">
        <v>67</v>
      </c>
      <c r="B35" t="s">
        <v>1822</v>
      </c>
    </row>
    <row r="36" spans="1:2">
      <c r="A36" s="165" t="s">
        <v>71</v>
      </c>
      <c r="B36" t="s">
        <v>1823</v>
      </c>
    </row>
    <row r="37" spans="1:2">
      <c r="A37" s="165" t="s">
        <v>32</v>
      </c>
      <c r="B37" t="s">
        <v>1824</v>
      </c>
    </row>
    <row r="38" spans="1:2">
      <c r="A38" s="165" t="s">
        <v>29</v>
      </c>
      <c r="B38" t="s">
        <v>1825</v>
      </c>
    </row>
    <row r="39" spans="1:2">
      <c r="A39" s="165" t="s">
        <v>35</v>
      </c>
      <c r="B39" t="s">
        <v>1826</v>
      </c>
    </row>
    <row r="40" spans="1:2">
      <c r="A40" t="s">
        <v>1827</v>
      </c>
      <c r="B40" t="s">
        <v>1828</v>
      </c>
    </row>
    <row r="41" spans="1:2">
      <c r="A41" t="s">
        <v>1829</v>
      </c>
      <c r="B41" t="s">
        <v>1830</v>
      </c>
    </row>
    <row r="42" spans="1:2">
      <c r="A42" t="s">
        <v>1831</v>
      </c>
      <c r="B42" t="s">
        <v>1832</v>
      </c>
    </row>
    <row r="43" spans="1:2">
      <c r="A43" t="s">
        <v>1833</v>
      </c>
      <c r="B43" t="s">
        <v>1834</v>
      </c>
    </row>
    <row r="44" spans="1:2">
      <c r="A44" t="s">
        <v>1835</v>
      </c>
      <c r="B44" t="s">
        <v>1836</v>
      </c>
    </row>
    <row r="45" spans="1:2">
      <c r="A45" t="s">
        <v>1837</v>
      </c>
      <c r="B45" t="s">
        <v>1838</v>
      </c>
    </row>
    <row r="46" spans="1:2">
      <c r="A46" t="s">
        <v>1839</v>
      </c>
      <c r="B46" t="s">
        <v>1840</v>
      </c>
    </row>
    <row r="47" spans="1:2">
      <c r="A47" t="s">
        <v>1841</v>
      </c>
      <c r="B47" t="s">
        <v>1842</v>
      </c>
    </row>
    <row r="48" spans="1:2">
      <c r="A48" t="s">
        <v>1843</v>
      </c>
      <c r="B48" t="s">
        <v>1844</v>
      </c>
    </row>
    <row r="49" spans="1:2">
      <c r="A49" t="s">
        <v>1845</v>
      </c>
      <c r="B49" t="s">
        <v>1846</v>
      </c>
    </row>
    <row r="50" spans="1:2">
      <c r="A50" t="s">
        <v>1847</v>
      </c>
      <c r="B50" t="s">
        <v>1848</v>
      </c>
    </row>
    <row r="51" spans="1:2">
      <c r="A51" t="s">
        <v>1849</v>
      </c>
      <c r="B51" t="s">
        <v>1850</v>
      </c>
    </row>
    <row r="52" spans="1:2">
      <c r="A52" t="s">
        <v>1851</v>
      </c>
      <c r="B52" t="s">
        <v>1852</v>
      </c>
    </row>
    <row r="53" spans="1:2">
      <c r="A53" t="s">
        <v>1853</v>
      </c>
      <c r="B53" t="s">
        <v>1854</v>
      </c>
    </row>
    <row r="54" spans="1:2">
      <c r="A54" t="s">
        <v>1855</v>
      </c>
      <c r="B54" t="s">
        <v>1856</v>
      </c>
    </row>
    <row r="55" spans="1:2">
      <c r="A55" t="s">
        <v>1857</v>
      </c>
      <c r="B55" t="s">
        <v>1858</v>
      </c>
    </row>
    <row r="56" spans="1:2">
      <c r="A56" t="s">
        <v>1859</v>
      </c>
      <c r="B56" t="s">
        <v>1860</v>
      </c>
    </row>
    <row r="57" spans="1:2">
      <c r="A57" t="s">
        <v>1861</v>
      </c>
      <c r="B57" t="s">
        <v>1862</v>
      </c>
    </row>
    <row r="58" spans="1:2">
      <c r="A58" t="s">
        <v>1863</v>
      </c>
      <c r="B58" t="s">
        <v>1864</v>
      </c>
    </row>
    <row r="59" spans="1:2">
      <c r="A59" t="s">
        <v>1865</v>
      </c>
      <c r="B59" t="s">
        <v>1866</v>
      </c>
    </row>
    <row r="60" spans="1:2">
      <c r="A60" t="s">
        <v>1867</v>
      </c>
      <c r="B60" t="s">
        <v>1868</v>
      </c>
    </row>
    <row r="61" spans="1:2">
      <c r="A61" t="s">
        <v>1869</v>
      </c>
      <c r="B61" t="s">
        <v>1870</v>
      </c>
    </row>
    <row r="62" spans="1:2">
      <c r="A62" t="s">
        <v>1871</v>
      </c>
      <c r="B62" t="s">
        <v>1872</v>
      </c>
    </row>
    <row r="63" spans="1:2">
      <c r="A63" t="s">
        <v>1873</v>
      </c>
      <c r="B63" t="s">
        <v>1874</v>
      </c>
    </row>
    <row r="64" spans="1:2">
      <c r="A64" t="s">
        <v>1875</v>
      </c>
      <c r="B64" t="s">
        <v>1876</v>
      </c>
    </row>
    <row r="65" spans="1:2">
      <c r="A65" t="s">
        <v>1877</v>
      </c>
      <c r="B65" t="s">
        <v>1878</v>
      </c>
    </row>
    <row r="66" spans="1:2">
      <c r="A66" t="s">
        <v>1879</v>
      </c>
      <c r="B66" t="s">
        <v>1880</v>
      </c>
    </row>
    <row r="67" spans="1:2">
      <c r="A67" t="s">
        <v>1881</v>
      </c>
      <c r="B67" t="s">
        <v>1882</v>
      </c>
    </row>
    <row r="68" spans="1:2">
      <c r="A68" t="s">
        <v>1883</v>
      </c>
      <c r="B68" t="s">
        <v>1884</v>
      </c>
    </row>
    <row r="69" spans="1:2">
      <c r="A69" t="s">
        <v>1885</v>
      </c>
      <c r="B69" t="s">
        <v>1886</v>
      </c>
    </row>
    <row r="70" spans="1:2">
      <c r="A70" t="s">
        <v>1887</v>
      </c>
      <c r="B70" t="s">
        <v>1888</v>
      </c>
    </row>
    <row r="71" spans="1:2">
      <c r="A71" t="s">
        <v>1889</v>
      </c>
      <c r="B71" t="s">
        <v>1890</v>
      </c>
    </row>
    <row r="72" spans="1:2">
      <c r="A72" t="s">
        <v>1891</v>
      </c>
      <c r="B72" t="s">
        <v>1892</v>
      </c>
    </row>
    <row r="73" spans="1:2">
      <c r="A73" t="s">
        <v>1893</v>
      </c>
      <c r="B73" t="s">
        <v>1894</v>
      </c>
    </row>
    <row r="74" spans="1:2">
      <c r="A74" t="s">
        <v>1895</v>
      </c>
      <c r="B74" t="s">
        <v>1896</v>
      </c>
    </row>
    <row r="75" spans="1:2">
      <c r="A75" t="s">
        <v>1897</v>
      </c>
      <c r="B75" t="s">
        <v>1898</v>
      </c>
    </row>
    <row r="76" spans="1:2">
      <c r="A76" t="s">
        <v>1899</v>
      </c>
      <c r="B76" t="s">
        <v>1900</v>
      </c>
    </row>
    <row r="77" spans="1:2">
      <c r="A77" t="s">
        <v>1901</v>
      </c>
      <c r="B77" t="s">
        <v>1902</v>
      </c>
    </row>
    <row r="78" spans="1:2">
      <c r="A78" t="s">
        <v>1903</v>
      </c>
      <c r="B78" t="s">
        <v>1904</v>
      </c>
    </row>
    <row r="79" spans="1:2">
      <c r="A79" t="s">
        <v>1905</v>
      </c>
      <c r="B79" t="s">
        <v>1906</v>
      </c>
    </row>
    <row r="80" spans="1:2">
      <c r="A80" t="s">
        <v>1907</v>
      </c>
      <c r="B80" t="s">
        <v>1908</v>
      </c>
    </row>
    <row r="81" spans="1:2">
      <c r="A81" t="s">
        <v>1909</v>
      </c>
      <c r="B81" t="s">
        <v>1910</v>
      </c>
    </row>
    <row r="82" spans="1:2">
      <c r="A82" t="s">
        <v>1911</v>
      </c>
      <c r="B82" t="s">
        <v>1912</v>
      </c>
    </row>
    <row r="83" spans="1:2">
      <c r="A83" t="s">
        <v>1913</v>
      </c>
      <c r="B83" t="s">
        <v>1914</v>
      </c>
    </row>
    <row r="84" spans="1:2">
      <c r="A84" t="s">
        <v>1915</v>
      </c>
      <c r="B84" t="s">
        <v>1916</v>
      </c>
    </row>
    <row r="85" spans="1:2">
      <c r="A85" t="s">
        <v>1917</v>
      </c>
      <c r="B85" t="s">
        <v>1918</v>
      </c>
    </row>
    <row r="86" spans="1:2">
      <c r="A86" t="s">
        <v>1919</v>
      </c>
      <c r="B86" t="s">
        <v>1920</v>
      </c>
    </row>
    <row r="87" spans="1:2">
      <c r="A87" t="s">
        <v>77</v>
      </c>
      <c r="B87" t="s">
        <v>1921</v>
      </c>
    </row>
    <row r="88" spans="1:2">
      <c r="A88" t="s">
        <v>1922</v>
      </c>
      <c r="B88" t="s">
        <v>1923</v>
      </c>
    </row>
    <row r="89" spans="1:2">
      <c r="A89" t="s">
        <v>1924</v>
      </c>
      <c r="B89" t="s">
        <v>1925</v>
      </c>
    </row>
    <row r="90" spans="1:2">
      <c r="A90" t="s">
        <v>1926</v>
      </c>
      <c r="B90" t="s">
        <v>1927</v>
      </c>
    </row>
    <row r="91" spans="1:2">
      <c r="A91" t="s">
        <v>1928</v>
      </c>
      <c r="B91" t="s">
        <v>1929</v>
      </c>
    </row>
    <row r="92" spans="1:2">
      <c r="A92" t="s">
        <v>1930</v>
      </c>
      <c r="B92" t="s">
        <v>1931</v>
      </c>
    </row>
    <row r="93" spans="1:2">
      <c r="A93" t="s">
        <v>1932</v>
      </c>
      <c r="B93" t="s">
        <v>1933</v>
      </c>
    </row>
    <row r="94" spans="1:2">
      <c r="A94" t="s">
        <v>1934</v>
      </c>
      <c r="B94" t="s">
        <v>1935</v>
      </c>
    </row>
    <row r="95" spans="1:2">
      <c r="A95" t="s">
        <v>1936</v>
      </c>
      <c r="B95" t="s">
        <v>1937</v>
      </c>
    </row>
    <row r="96" spans="1:2">
      <c r="A96" t="s">
        <v>1938</v>
      </c>
      <c r="B96" t="s">
        <v>1939</v>
      </c>
    </row>
    <row r="97" spans="1:2">
      <c r="A97" t="s">
        <v>1940</v>
      </c>
      <c r="B97" t="s">
        <v>1941</v>
      </c>
    </row>
    <row r="98" spans="1:2">
      <c r="A98" t="s">
        <v>1942</v>
      </c>
      <c r="B98" t="s">
        <v>1943</v>
      </c>
    </row>
    <row r="99" spans="1:2">
      <c r="A99" t="s">
        <v>1944</v>
      </c>
      <c r="B99" t="s">
        <v>1945</v>
      </c>
    </row>
    <row r="100" spans="1:2">
      <c r="A100" t="s">
        <v>1946</v>
      </c>
      <c r="B100" t="s">
        <v>1947</v>
      </c>
    </row>
    <row r="101" spans="1:2">
      <c r="A101" t="s">
        <v>1948</v>
      </c>
      <c r="B101" t="s">
        <v>1949</v>
      </c>
    </row>
    <row r="102" spans="1:2">
      <c r="A102" t="s">
        <v>1950</v>
      </c>
      <c r="B102" t="s">
        <v>1951</v>
      </c>
    </row>
    <row r="103" spans="1:2">
      <c r="A103" t="s">
        <v>1952</v>
      </c>
      <c r="B103" t="s">
        <v>1953</v>
      </c>
    </row>
    <row r="104" spans="1:2">
      <c r="A104" t="s">
        <v>1954</v>
      </c>
      <c r="B104" t="s">
        <v>1955</v>
      </c>
    </row>
    <row r="105" spans="1:2">
      <c r="A105" t="s">
        <v>1956</v>
      </c>
      <c r="B105" t="s">
        <v>1957</v>
      </c>
    </row>
    <row r="106" spans="1:2">
      <c r="A106" t="s">
        <v>1958</v>
      </c>
      <c r="B106" t="s">
        <v>1959</v>
      </c>
    </row>
    <row r="107" spans="1:2">
      <c r="A107" t="s">
        <v>1960</v>
      </c>
      <c r="B107" t="s">
        <v>1961</v>
      </c>
    </row>
    <row r="108" spans="1:2">
      <c r="A108" t="s">
        <v>1962</v>
      </c>
      <c r="B108" t="s">
        <v>1963</v>
      </c>
    </row>
    <row r="109" spans="1:2">
      <c r="A109" t="s">
        <v>1964</v>
      </c>
      <c r="B109" t="s">
        <v>1965</v>
      </c>
    </row>
    <row r="110" spans="1:2">
      <c r="A110" t="s">
        <v>1966</v>
      </c>
      <c r="B110" t="s">
        <v>1967</v>
      </c>
    </row>
    <row r="111" spans="1:2">
      <c r="A111" t="s">
        <v>1968</v>
      </c>
      <c r="B111" t="s">
        <v>1969</v>
      </c>
    </row>
    <row r="112" spans="1:2">
      <c r="A112" t="s">
        <v>1970</v>
      </c>
      <c r="B112" t="s">
        <v>1971</v>
      </c>
    </row>
    <row r="113" spans="1:2">
      <c r="A113" t="s">
        <v>1972</v>
      </c>
      <c r="B113" t="s">
        <v>1973</v>
      </c>
    </row>
    <row r="114" spans="1:2">
      <c r="A114" t="s">
        <v>1974</v>
      </c>
      <c r="B114" t="s">
        <v>1975</v>
      </c>
    </row>
    <row r="115" spans="1:2">
      <c r="A115" t="s">
        <v>1976</v>
      </c>
      <c r="B115" t="s">
        <v>1977</v>
      </c>
    </row>
    <row r="116" spans="1:2">
      <c r="A116" t="s">
        <v>1978</v>
      </c>
      <c r="B116" t="s">
        <v>1979</v>
      </c>
    </row>
    <row r="117" spans="1:2">
      <c r="A117" t="s">
        <v>1980</v>
      </c>
      <c r="B117" t="s">
        <v>1981</v>
      </c>
    </row>
    <row r="118" spans="1:2">
      <c r="A118" t="s">
        <v>1982</v>
      </c>
      <c r="B118" t="s">
        <v>1983</v>
      </c>
    </row>
    <row r="119" spans="1:2">
      <c r="A119" t="s">
        <v>1984</v>
      </c>
      <c r="B119" t="s">
        <v>1985</v>
      </c>
    </row>
    <row r="120" spans="1:2">
      <c r="A120" t="s">
        <v>1986</v>
      </c>
      <c r="B120" t="s">
        <v>1987</v>
      </c>
    </row>
    <row r="121" spans="1:2">
      <c r="A121" t="s">
        <v>1988</v>
      </c>
      <c r="B121" t="s">
        <v>1989</v>
      </c>
    </row>
    <row r="122" spans="1:2">
      <c r="A122" t="s">
        <v>1990</v>
      </c>
      <c r="B122" t="s">
        <v>1991</v>
      </c>
    </row>
    <row r="123" spans="1:2">
      <c r="A123" t="s">
        <v>1992</v>
      </c>
      <c r="B123" t="s">
        <v>1993</v>
      </c>
    </row>
    <row r="124" spans="1:2">
      <c r="A124" t="s">
        <v>1994</v>
      </c>
      <c r="B124" t="s">
        <v>1995</v>
      </c>
    </row>
    <row r="125" spans="1:2">
      <c r="A125" t="s">
        <v>1996</v>
      </c>
      <c r="B125" t="s">
        <v>1997</v>
      </c>
    </row>
    <row r="126" spans="1:2">
      <c r="A126" t="s">
        <v>1998</v>
      </c>
      <c r="B126" t="s">
        <v>1999</v>
      </c>
    </row>
    <row r="127" spans="1:2">
      <c r="A127" t="s">
        <v>2000</v>
      </c>
      <c r="B127" t="s">
        <v>2001</v>
      </c>
    </row>
    <row r="128" spans="1:2">
      <c r="A128" t="s">
        <v>2002</v>
      </c>
      <c r="B128" t="s">
        <v>2003</v>
      </c>
    </row>
    <row r="129" spans="1:2">
      <c r="A129" t="s">
        <v>2004</v>
      </c>
      <c r="B129" t="s">
        <v>2005</v>
      </c>
    </row>
    <row r="130" spans="1:2">
      <c r="A130" t="s">
        <v>2006</v>
      </c>
      <c r="B130" t="s">
        <v>2007</v>
      </c>
    </row>
    <row r="131" spans="1:2">
      <c r="A131" t="s">
        <v>2008</v>
      </c>
      <c r="B131" t="s">
        <v>2009</v>
      </c>
    </row>
    <row r="132" spans="1:2">
      <c r="A132" t="s">
        <v>2010</v>
      </c>
      <c r="B132" t="s">
        <v>2011</v>
      </c>
    </row>
    <row r="133" spans="1:2">
      <c r="A133" t="s">
        <v>2012</v>
      </c>
      <c r="B133" t="s">
        <v>2013</v>
      </c>
    </row>
    <row r="134" spans="1:2">
      <c r="A134" t="s">
        <v>2014</v>
      </c>
      <c r="B134" t="s">
        <v>2015</v>
      </c>
    </row>
    <row r="135" spans="1:2">
      <c r="A135" t="s">
        <v>2016</v>
      </c>
      <c r="B135" t="s">
        <v>2017</v>
      </c>
    </row>
    <row r="136" spans="1:2">
      <c r="A136" t="s">
        <v>2018</v>
      </c>
      <c r="B136" t="s">
        <v>2019</v>
      </c>
    </row>
    <row r="137" spans="1:2">
      <c r="A137" t="s">
        <v>309</v>
      </c>
      <c r="B137" t="s">
        <v>2020</v>
      </c>
    </row>
    <row r="138" spans="1:2">
      <c r="A138" t="s">
        <v>2021</v>
      </c>
      <c r="B138" t="s">
        <v>2022</v>
      </c>
    </row>
    <row r="139" spans="1:2">
      <c r="A139" t="s">
        <v>2023</v>
      </c>
      <c r="B139" t="s">
        <v>2024</v>
      </c>
    </row>
    <row r="140" spans="1:2">
      <c r="A140" t="s">
        <v>2025</v>
      </c>
      <c r="B140" t="s">
        <v>2026</v>
      </c>
    </row>
    <row r="141" spans="1:2">
      <c r="A141" t="s">
        <v>2027</v>
      </c>
      <c r="B141" t="s">
        <v>2028</v>
      </c>
    </row>
    <row r="142" spans="1:2">
      <c r="A142" t="s">
        <v>2029</v>
      </c>
      <c r="B142" t="s">
        <v>2030</v>
      </c>
    </row>
    <row r="143" spans="1:2">
      <c r="A143" t="s">
        <v>2031</v>
      </c>
      <c r="B143" t="s">
        <v>2032</v>
      </c>
    </row>
    <row r="144" spans="1:2">
      <c r="A144" t="s">
        <v>2033</v>
      </c>
      <c r="B144" t="s">
        <v>2034</v>
      </c>
    </row>
    <row r="145" spans="1:2">
      <c r="A145" t="s">
        <v>2035</v>
      </c>
      <c r="B145" t="s">
        <v>2036</v>
      </c>
    </row>
    <row r="146" spans="1:2">
      <c r="A146" t="s">
        <v>302</v>
      </c>
      <c r="B146" t="s">
        <v>2037</v>
      </c>
    </row>
    <row r="147" spans="1:2">
      <c r="A147" t="s">
        <v>304</v>
      </c>
      <c r="B147" t="s">
        <v>2038</v>
      </c>
    </row>
    <row r="148" spans="1:2">
      <c r="A148" t="s">
        <v>2039</v>
      </c>
      <c r="B148" t="s">
        <v>2040</v>
      </c>
    </row>
    <row r="149" spans="1:2">
      <c r="A149" t="s">
        <v>2041</v>
      </c>
      <c r="B149" t="s">
        <v>2042</v>
      </c>
    </row>
    <row r="150" spans="1:2">
      <c r="A150" t="s">
        <v>2043</v>
      </c>
      <c r="B150" t="s">
        <v>2044</v>
      </c>
    </row>
    <row r="151" spans="1:2">
      <c r="A151" t="s">
        <v>2045</v>
      </c>
      <c r="B151" t="s">
        <v>2046</v>
      </c>
    </row>
    <row r="152" spans="1:2">
      <c r="A152" t="s">
        <v>2047</v>
      </c>
      <c r="B152" t="s">
        <v>2048</v>
      </c>
    </row>
    <row r="153" spans="1:2">
      <c r="A153" t="s">
        <v>2049</v>
      </c>
      <c r="B153" t="s">
        <v>2050</v>
      </c>
    </row>
    <row r="154" spans="1:2">
      <c r="A154" t="s">
        <v>2051</v>
      </c>
      <c r="B154" t="s">
        <v>2052</v>
      </c>
    </row>
    <row r="155" spans="1:2">
      <c r="A155" t="s">
        <v>2053</v>
      </c>
      <c r="B155" t="s">
        <v>2054</v>
      </c>
    </row>
    <row r="156" spans="1:2">
      <c r="A156" t="s">
        <v>2055</v>
      </c>
      <c r="B156" t="s">
        <v>2056</v>
      </c>
    </row>
    <row r="157" spans="1:2">
      <c r="A157" t="s">
        <v>2057</v>
      </c>
      <c r="B157" t="s">
        <v>2058</v>
      </c>
    </row>
    <row r="158" spans="1:2">
      <c r="A158" t="s">
        <v>2059</v>
      </c>
      <c r="B158" t="s">
        <v>2060</v>
      </c>
    </row>
    <row r="159" spans="1:2">
      <c r="A159" t="s">
        <v>2061</v>
      </c>
      <c r="B159" t="s">
        <v>2062</v>
      </c>
    </row>
    <row r="160" spans="1:2">
      <c r="A160" t="s">
        <v>2063</v>
      </c>
      <c r="B160" t="s">
        <v>2064</v>
      </c>
    </row>
    <row r="161" spans="1:2">
      <c r="A161" t="s">
        <v>2065</v>
      </c>
      <c r="B161" t="s">
        <v>2066</v>
      </c>
    </row>
    <row r="162" spans="1:2">
      <c r="A162" t="s">
        <v>2067</v>
      </c>
      <c r="B162" t="s">
        <v>2068</v>
      </c>
    </row>
    <row r="163" spans="1:2">
      <c r="A163" t="s">
        <v>2069</v>
      </c>
      <c r="B163" t="s">
        <v>2070</v>
      </c>
    </row>
    <row r="164" spans="1:2">
      <c r="A164" t="s">
        <v>2071</v>
      </c>
      <c r="B164" t="s">
        <v>2072</v>
      </c>
    </row>
    <row r="165" spans="1:2">
      <c r="A165" t="s">
        <v>2073</v>
      </c>
      <c r="B165" t="s">
        <v>2074</v>
      </c>
    </row>
    <row r="166" spans="1:2">
      <c r="A166" t="s">
        <v>2075</v>
      </c>
      <c r="B166" t="s">
        <v>2076</v>
      </c>
    </row>
    <row r="167" spans="1:2">
      <c r="A167" t="s">
        <v>2077</v>
      </c>
      <c r="B167" t="s">
        <v>2078</v>
      </c>
    </row>
    <row r="168" spans="1:2">
      <c r="A168" t="s">
        <v>2079</v>
      </c>
      <c r="B168" t="s">
        <v>2080</v>
      </c>
    </row>
    <row r="169" spans="1:2">
      <c r="A169" t="s">
        <v>2081</v>
      </c>
      <c r="B169" t="s">
        <v>2082</v>
      </c>
    </row>
    <row r="170" spans="1:2">
      <c r="A170" t="s">
        <v>2083</v>
      </c>
      <c r="B170" t="s">
        <v>2084</v>
      </c>
    </row>
    <row r="171" spans="1:2">
      <c r="A171" t="s">
        <v>2085</v>
      </c>
      <c r="B171" t="s">
        <v>2086</v>
      </c>
    </row>
    <row r="172" spans="1:2">
      <c r="A172" t="s">
        <v>2087</v>
      </c>
      <c r="B172" t="s">
        <v>2088</v>
      </c>
    </row>
    <row r="173" spans="1:2">
      <c r="A173" t="s">
        <v>2089</v>
      </c>
      <c r="B173" t="s">
        <v>2090</v>
      </c>
    </row>
    <row r="174" spans="1:2">
      <c r="A174" t="s">
        <v>2091</v>
      </c>
      <c r="B174" t="s">
        <v>2092</v>
      </c>
    </row>
    <row r="175" spans="1:2">
      <c r="A175" t="s">
        <v>2093</v>
      </c>
      <c r="B175" t="s">
        <v>2094</v>
      </c>
    </row>
    <row r="176" spans="1:2">
      <c r="A176" t="s">
        <v>2095</v>
      </c>
      <c r="B176" t="s">
        <v>2096</v>
      </c>
    </row>
    <row r="177" spans="1:2">
      <c r="A177" t="s">
        <v>2097</v>
      </c>
      <c r="B177" t="s">
        <v>2098</v>
      </c>
    </row>
    <row r="178" spans="1:2">
      <c r="A178" t="s">
        <v>2099</v>
      </c>
      <c r="B178" t="s">
        <v>2100</v>
      </c>
    </row>
    <row r="179" spans="1:2">
      <c r="A179" t="s">
        <v>2101</v>
      </c>
      <c r="B179" t="s">
        <v>2102</v>
      </c>
    </row>
    <row r="180" spans="1:2">
      <c r="A180" t="s">
        <v>2103</v>
      </c>
      <c r="B180" t="s">
        <v>2104</v>
      </c>
    </row>
    <row r="181" spans="1:2">
      <c r="A181" t="s">
        <v>2105</v>
      </c>
      <c r="B181" t="s">
        <v>2106</v>
      </c>
    </row>
    <row r="182" spans="1:2">
      <c r="A182" t="s">
        <v>2107</v>
      </c>
      <c r="B182" t="s">
        <v>2108</v>
      </c>
    </row>
    <row r="183" spans="1:2">
      <c r="A183" t="s">
        <v>2109</v>
      </c>
      <c r="B183" t="s">
        <v>2110</v>
      </c>
    </row>
    <row r="184" spans="1:2">
      <c r="A184" t="s">
        <v>2111</v>
      </c>
      <c r="B184" t="s">
        <v>2112</v>
      </c>
    </row>
    <row r="185" spans="1:2">
      <c r="A185" t="s">
        <v>2113</v>
      </c>
      <c r="B185" t="s">
        <v>2114</v>
      </c>
    </row>
    <row r="186" spans="1:2">
      <c r="A186" t="s">
        <v>2115</v>
      </c>
      <c r="B186" t="s">
        <v>2116</v>
      </c>
    </row>
    <row r="187" spans="1:2">
      <c r="A187" t="s">
        <v>2117</v>
      </c>
      <c r="B187" t="s">
        <v>2118</v>
      </c>
    </row>
    <row r="188" spans="1:2">
      <c r="A188" t="s">
        <v>2119</v>
      </c>
      <c r="B188" t="s">
        <v>2120</v>
      </c>
    </row>
    <row r="189" spans="1:2">
      <c r="A189" t="s">
        <v>2121</v>
      </c>
      <c r="B189" t="s">
        <v>2122</v>
      </c>
    </row>
    <row r="190" spans="1:2">
      <c r="A190" t="s">
        <v>2123</v>
      </c>
      <c r="B190" t="s">
        <v>2124</v>
      </c>
    </row>
    <row r="191" spans="1:2">
      <c r="A191" t="s">
        <v>2125</v>
      </c>
      <c r="B191" t="s">
        <v>2126</v>
      </c>
    </row>
    <row r="192" spans="1:2">
      <c r="A192" t="s">
        <v>2127</v>
      </c>
      <c r="B192" t="s">
        <v>2128</v>
      </c>
    </row>
    <row r="193" spans="1:2">
      <c r="A193" t="s">
        <v>2129</v>
      </c>
      <c r="B193" t="s">
        <v>2130</v>
      </c>
    </row>
    <row r="194" spans="1:2">
      <c r="A194" t="s">
        <v>2131</v>
      </c>
      <c r="B194" t="s">
        <v>2132</v>
      </c>
    </row>
    <row r="195" spans="1:2">
      <c r="A195" t="s">
        <v>2133</v>
      </c>
      <c r="B195" t="s">
        <v>2134</v>
      </c>
    </row>
    <row r="196" spans="1:2">
      <c r="A196" t="s">
        <v>2135</v>
      </c>
      <c r="B196" t="s">
        <v>2136</v>
      </c>
    </row>
    <row r="197" spans="1:2">
      <c r="A197" t="s">
        <v>2137</v>
      </c>
      <c r="B197" t="s">
        <v>2138</v>
      </c>
    </row>
    <row r="198" spans="1:2">
      <c r="A198" t="s">
        <v>60</v>
      </c>
      <c r="B198" t="s">
        <v>2139</v>
      </c>
    </row>
    <row r="199" spans="1:2">
      <c r="A199" t="s">
        <v>2140</v>
      </c>
      <c r="B199" t="s">
        <v>2141</v>
      </c>
    </row>
    <row r="200" spans="1:2">
      <c r="A200" t="s">
        <v>2142</v>
      </c>
      <c r="B200" t="s">
        <v>2143</v>
      </c>
    </row>
    <row r="201" spans="1:2">
      <c r="A201" t="s">
        <v>2144</v>
      </c>
      <c r="B201" t="s">
        <v>2145</v>
      </c>
    </row>
    <row r="202" spans="1:2">
      <c r="A202" t="s">
        <v>2146</v>
      </c>
      <c r="B202" t="s">
        <v>2147</v>
      </c>
    </row>
    <row r="203" spans="1:2">
      <c r="A203" t="s">
        <v>2148</v>
      </c>
      <c r="B203" t="s">
        <v>2149</v>
      </c>
    </row>
    <row r="204" spans="1:2">
      <c r="A204" t="s">
        <v>2150</v>
      </c>
      <c r="B204" t="s">
        <v>2151</v>
      </c>
    </row>
    <row r="205" spans="1:2">
      <c r="A205" t="s">
        <v>2152</v>
      </c>
      <c r="B205" t="s">
        <v>2153</v>
      </c>
    </row>
    <row r="206" spans="1:2">
      <c r="A206" t="s">
        <v>2154</v>
      </c>
      <c r="B206" t="s">
        <v>2155</v>
      </c>
    </row>
    <row r="207" spans="1:2">
      <c r="A207" t="s">
        <v>2156</v>
      </c>
      <c r="B207" t="s">
        <v>2157</v>
      </c>
    </row>
    <row r="208" spans="1:2">
      <c r="A208" t="s">
        <v>2158</v>
      </c>
      <c r="B208" t="s">
        <v>2159</v>
      </c>
    </row>
    <row r="209" spans="1:2">
      <c r="A209" t="s">
        <v>2160</v>
      </c>
      <c r="B209" t="s">
        <v>2161</v>
      </c>
    </row>
    <row r="210" spans="1:2">
      <c r="A210" t="s">
        <v>2162</v>
      </c>
      <c r="B210" t="s">
        <v>2163</v>
      </c>
    </row>
    <row r="211" spans="1:2">
      <c r="A211" t="s">
        <v>2164</v>
      </c>
      <c r="B211" t="s">
        <v>2165</v>
      </c>
    </row>
    <row r="212" spans="1:2">
      <c r="A212" t="s">
        <v>2166</v>
      </c>
      <c r="B212" t="s">
        <v>2167</v>
      </c>
    </row>
    <row r="213" spans="1:2">
      <c r="A213" t="s">
        <v>2168</v>
      </c>
      <c r="B213" t="s">
        <v>2169</v>
      </c>
    </row>
    <row r="214" spans="1:2">
      <c r="A214" t="s">
        <v>2170</v>
      </c>
      <c r="B214" t="s">
        <v>2171</v>
      </c>
    </row>
    <row r="215" spans="1:2">
      <c r="A215" t="s">
        <v>2172</v>
      </c>
      <c r="B215" t="s">
        <v>2173</v>
      </c>
    </row>
    <row r="216" spans="1:2">
      <c r="A216" t="s">
        <v>2174</v>
      </c>
      <c r="B216" t="s">
        <v>2175</v>
      </c>
    </row>
    <row r="217" spans="1:2">
      <c r="A217" t="s">
        <v>2176</v>
      </c>
      <c r="B217" t="s">
        <v>2177</v>
      </c>
    </row>
    <row r="218" spans="1:2">
      <c r="A218" t="s">
        <v>2178</v>
      </c>
      <c r="B218" t="s">
        <v>2179</v>
      </c>
    </row>
    <row r="219" spans="1:2">
      <c r="A219" t="s">
        <v>2180</v>
      </c>
      <c r="B219" t="s">
        <v>2181</v>
      </c>
    </row>
    <row r="220" spans="1:2">
      <c r="A220" t="s">
        <v>2182</v>
      </c>
      <c r="B220" t="s">
        <v>2183</v>
      </c>
    </row>
    <row r="221" spans="1:2">
      <c r="A221" t="s">
        <v>2184</v>
      </c>
      <c r="B221" t="s">
        <v>2185</v>
      </c>
    </row>
    <row r="222" spans="1:2">
      <c r="A222" t="s">
        <v>2186</v>
      </c>
      <c r="B222" t="s">
        <v>2187</v>
      </c>
    </row>
    <row r="223" spans="1:2">
      <c r="A223" t="s">
        <v>2188</v>
      </c>
      <c r="B223" t="s">
        <v>2189</v>
      </c>
    </row>
    <row r="224" spans="1:2">
      <c r="A224" t="s">
        <v>2190</v>
      </c>
      <c r="B224" t="s">
        <v>2191</v>
      </c>
    </row>
    <row r="225" spans="1:2">
      <c r="A225" t="s">
        <v>2192</v>
      </c>
      <c r="B225" t="s">
        <v>2193</v>
      </c>
    </row>
    <row r="226" spans="1:2">
      <c r="A226" t="s">
        <v>2194</v>
      </c>
      <c r="B226" t="s">
        <v>2195</v>
      </c>
    </row>
    <row r="227" spans="1:2">
      <c r="A227" t="s">
        <v>2196</v>
      </c>
      <c r="B227" t="s">
        <v>2197</v>
      </c>
    </row>
    <row r="228" spans="1:2">
      <c r="A228" t="s">
        <v>2198</v>
      </c>
      <c r="B228" t="s">
        <v>2199</v>
      </c>
    </row>
    <row r="229" spans="1:2">
      <c r="A229" t="s">
        <v>2200</v>
      </c>
      <c r="B229" t="s">
        <v>2201</v>
      </c>
    </row>
    <row r="230" spans="1:2">
      <c r="A230" t="s">
        <v>2202</v>
      </c>
      <c r="B230" t="s">
        <v>2203</v>
      </c>
    </row>
    <row r="231" spans="1:2">
      <c r="A231" t="s">
        <v>2204</v>
      </c>
      <c r="B231" t="s">
        <v>2205</v>
      </c>
    </row>
    <row r="232" spans="1:2">
      <c r="A232" t="s">
        <v>2206</v>
      </c>
      <c r="B232" t="s">
        <v>2207</v>
      </c>
    </row>
    <row r="233" spans="1:2">
      <c r="A233" t="s">
        <v>2208</v>
      </c>
      <c r="B233" t="s">
        <v>2209</v>
      </c>
    </row>
    <row r="234" spans="1:2">
      <c r="A234" t="s">
        <v>2210</v>
      </c>
      <c r="B234" s="165" t="s">
        <v>2211</v>
      </c>
    </row>
    <row r="235" spans="1:2">
      <c r="A235" t="s">
        <v>2212</v>
      </c>
      <c r="B235" s="165" t="s">
        <v>2213</v>
      </c>
    </row>
    <row r="236" spans="1:2">
      <c r="A236" t="s">
        <v>2214</v>
      </c>
      <c r="B236" s="165" t="s">
        <v>2215</v>
      </c>
    </row>
    <row r="237" spans="1:2">
      <c r="A237" t="s">
        <v>2216</v>
      </c>
      <c r="B237" s="165" t="s">
        <v>2217</v>
      </c>
    </row>
    <row r="238" spans="1:2">
      <c r="A238" t="s">
        <v>2218</v>
      </c>
      <c r="B238" s="165" t="s">
        <v>2219</v>
      </c>
    </row>
    <row r="239" spans="1:2">
      <c r="A239" t="s">
        <v>2220</v>
      </c>
      <c r="B239" s="165" t="s">
        <v>2221</v>
      </c>
    </row>
    <row r="240" spans="1:2">
      <c r="A240" t="s">
        <v>2222</v>
      </c>
      <c r="B240" s="165" t="s">
        <v>2223</v>
      </c>
    </row>
    <row r="241" spans="1:2">
      <c r="A241" t="s">
        <v>2224</v>
      </c>
      <c r="B241" s="165" t="s">
        <v>2225</v>
      </c>
    </row>
    <row r="242" spans="1:2">
      <c r="A242" t="s">
        <v>2226</v>
      </c>
      <c r="B242" s="165" t="s">
        <v>2227</v>
      </c>
    </row>
    <row r="243" spans="1:2">
      <c r="A243" t="s">
        <v>2228</v>
      </c>
      <c r="B243" s="165" t="s">
        <v>2229</v>
      </c>
    </row>
    <row r="244" spans="1:2">
      <c r="A244" t="s">
        <v>2230</v>
      </c>
      <c r="B244" s="165" t="s">
        <v>2231</v>
      </c>
    </row>
    <row r="245" spans="1:2">
      <c r="A245" t="s">
        <v>2232</v>
      </c>
      <c r="B245" s="165" t="s">
        <v>2233</v>
      </c>
    </row>
    <row r="246" spans="1:2">
      <c r="A246" t="s">
        <v>2234</v>
      </c>
      <c r="B246" s="165" t="s">
        <v>2235</v>
      </c>
    </row>
    <row r="247" spans="1:2">
      <c r="A247" t="s">
        <v>2236</v>
      </c>
      <c r="B247" s="165" t="s">
        <v>2237</v>
      </c>
    </row>
    <row r="248" spans="1:2">
      <c r="A248" t="s">
        <v>2238</v>
      </c>
      <c r="B248" s="165" t="s">
        <v>2239</v>
      </c>
    </row>
    <row r="249" spans="1:2">
      <c r="A249" t="s">
        <v>2240</v>
      </c>
      <c r="B249" s="165" t="s">
        <v>2241</v>
      </c>
    </row>
    <row r="250" spans="1:2">
      <c r="A250" t="s">
        <v>2242</v>
      </c>
      <c r="B250" s="165" t="s">
        <v>2243</v>
      </c>
    </row>
    <row r="251" spans="1:2">
      <c r="A251" t="s">
        <v>2244</v>
      </c>
      <c r="B251" s="165" t="s">
        <v>2245</v>
      </c>
    </row>
    <row r="252" spans="1:2">
      <c r="A252" t="s">
        <v>2246</v>
      </c>
      <c r="B252" s="165" t="s">
        <v>2247</v>
      </c>
    </row>
    <row r="253" spans="1:2">
      <c r="A253" t="s">
        <v>2248</v>
      </c>
      <c r="B253" s="165" t="s">
        <v>2249</v>
      </c>
    </row>
    <row r="254" spans="1:2">
      <c r="A254" t="s">
        <v>2250</v>
      </c>
      <c r="B254" s="165" t="s">
        <v>2251</v>
      </c>
    </row>
    <row r="255" spans="1:2">
      <c r="A255" t="s">
        <v>2252</v>
      </c>
      <c r="B255" s="165" t="s">
        <v>2253</v>
      </c>
    </row>
    <row r="256" spans="1:2">
      <c r="A256" t="s">
        <v>2254</v>
      </c>
      <c r="B256" s="165" t="s">
        <v>2255</v>
      </c>
    </row>
    <row r="257" spans="1:2">
      <c r="A257" t="s">
        <v>2256</v>
      </c>
      <c r="B257" s="165" t="s">
        <v>2257</v>
      </c>
    </row>
    <row r="258" spans="1:2">
      <c r="A258" t="s">
        <v>2258</v>
      </c>
      <c r="B258" s="165" t="s">
        <v>2259</v>
      </c>
    </row>
    <row r="259" spans="1:2">
      <c r="A259" t="s">
        <v>2260</v>
      </c>
      <c r="B259" s="165" t="s">
        <v>2261</v>
      </c>
    </row>
    <row r="260" spans="1:2">
      <c r="A260" t="s">
        <v>2262</v>
      </c>
      <c r="B260" s="165" t="s">
        <v>2263</v>
      </c>
    </row>
    <row r="261" spans="1:2">
      <c r="A261" t="s">
        <v>2264</v>
      </c>
      <c r="B261" s="165" t="s">
        <v>2265</v>
      </c>
    </row>
    <row r="262" spans="1:2">
      <c r="A262" t="s">
        <v>2266</v>
      </c>
      <c r="B262" s="165" t="s">
        <v>2267</v>
      </c>
    </row>
    <row r="263" spans="1:2">
      <c r="A263" t="s">
        <v>2268</v>
      </c>
      <c r="B263" s="165" t="s">
        <v>2269</v>
      </c>
    </row>
    <row r="264" spans="1:2">
      <c r="A264" t="s">
        <v>2270</v>
      </c>
      <c r="B264" s="165" t="s">
        <v>2271</v>
      </c>
    </row>
    <row r="265" spans="1:2">
      <c r="A265" t="s">
        <v>2272</v>
      </c>
      <c r="B265" s="165" t="s">
        <v>2273</v>
      </c>
    </row>
    <row r="266" spans="1:2">
      <c r="A266" t="s">
        <v>2274</v>
      </c>
      <c r="B266" s="165" t="s">
        <v>2275</v>
      </c>
    </row>
    <row r="267" spans="1:2">
      <c r="A267" t="s">
        <v>2276</v>
      </c>
      <c r="B267" s="165" t="s">
        <v>2277</v>
      </c>
    </row>
    <row r="268" spans="1:2">
      <c r="A268" t="s">
        <v>2278</v>
      </c>
      <c r="B268" s="165" t="s">
        <v>2279</v>
      </c>
    </row>
    <row r="269" spans="1:2">
      <c r="A269" t="s">
        <v>2280</v>
      </c>
      <c r="B269" s="165" t="s">
        <v>2281</v>
      </c>
    </row>
    <row r="270" spans="1:2">
      <c r="A270" t="s">
        <v>2282</v>
      </c>
      <c r="B270" s="165" t="s">
        <v>2283</v>
      </c>
    </row>
    <row r="271" spans="1:2">
      <c r="A271" t="s">
        <v>2284</v>
      </c>
      <c r="B271" s="165" t="s">
        <v>2285</v>
      </c>
    </row>
    <row r="272" spans="1:2">
      <c r="A272" t="s">
        <v>2286</v>
      </c>
      <c r="B272" s="165" t="s">
        <v>2287</v>
      </c>
    </row>
    <row r="273" spans="1:2">
      <c r="A273" t="s">
        <v>2288</v>
      </c>
      <c r="B273" s="165" t="s">
        <v>2289</v>
      </c>
    </row>
    <row r="274" spans="1:2">
      <c r="A274" t="s">
        <v>2290</v>
      </c>
      <c r="B274" s="165" t="s">
        <v>2291</v>
      </c>
    </row>
    <row r="275" spans="1:2">
      <c r="A275" t="s">
        <v>2292</v>
      </c>
      <c r="B275" s="165" t="s">
        <v>2293</v>
      </c>
    </row>
    <row r="276" spans="1:2">
      <c r="A276" t="s">
        <v>2294</v>
      </c>
      <c r="B276" s="165" t="s">
        <v>2295</v>
      </c>
    </row>
    <row r="277" spans="1:2">
      <c r="A277" t="s">
        <v>2296</v>
      </c>
      <c r="B277" s="165" t="s">
        <v>2297</v>
      </c>
    </row>
    <row r="278" spans="1:2">
      <c r="B278" s="165" t="s">
        <v>2298</v>
      </c>
    </row>
    <row r="279" spans="1:2">
      <c r="B279" s="165" t="s">
        <v>2299</v>
      </c>
    </row>
    <row r="280" spans="1:2">
      <c r="B280" s="165" t="s">
        <v>2300</v>
      </c>
    </row>
    <row r="281" spans="1:2">
      <c r="B281" s="165" t="s">
        <v>2301</v>
      </c>
    </row>
    <row r="282" spans="1:2">
      <c r="B282" s="165" t="s">
        <v>2302</v>
      </c>
    </row>
    <row r="283" spans="1:2">
      <c r="B283" s="165" t="s">
        <v>2303</v>
      </c>
    </row>
    <row r="284" spans="1:2">
      <c r="B284" s="165" t="s">
        <v>2304</v>
      </c>
    </row>
    <row r="285" spans="1:2">
      <c r="B285" s="165" t="s">
        <v>2305</v>
      </c>
    </row>
    <row r="286" spans="1:2">
      <c r="B286" s="165" t="s">
        <v>2306</v>
      </c>
    </row>
    <row r="287" spans="1:2">
      <c r="B287" s="165" t="s">
        <v>2307</v>
      </c>
    </row>
    <row r="288" spans="1:2">
      <c r="B288" s="165" t="s">
        <v>2308</v>
      </c>
    </row>
    <row r="289" spans="2:2">
      <c r="B289" s="165" t="s">
        <v>2309</v>
      </c>
    </row>
    <row r="290" spans="2:2">
      <c r="B290" s="165" t="s">
        <v>2310</v>
      </c>
    </row>
    <row r="291" spans="2:2">
      <c r="B291" s="165" t="s">
        <v>2311</v>
      </c>
    </row>
    <row r="292" spans="2:2">
      <c r="B292" s="165" t="s">
        <v>2312</v>
      </c>
    </row>
    <row r="293" spans="2:2">
      <c r="B293" s="165" t="s">
        <v>2313</v>
      </c>
    </row>
    <row r="294" spans="2:2">
      <c r="B294" s="165" t="s">
        <v>2314</v>
      </c>
    </row>
    <row r="295" spans="2:2">
      <c r="B295" s="165" t="s">
        <v>2315</v>
      </c>
    </row>
    <row r="296" spans="2:2">
      <c r="B296" s="165" t="s">
        <v>2316</v>
      </c>
    </row>
    <row r="297" spans="2:2">
      <c r="B297" s="165" t="s">
        <v>2317</v>
      </c>
    </row>
    <row r="298" spans="2:2">
      <c r="B298" s="165" t="s">
        <v>2318</v>
      </c>
    </row>
    <row r="299" spans="2:2">
      <c r="B299" s="165" t="s">
        <v>2319</v>
      </c>
    </row>
    <row r="300" spans="2:2">
      <c r="B300" s="165" t="s">
        <v>2320</v>
      </c>
    </row>
    <row r="301" spans="2:2">
      <c r="B301" s="165" t="s">
        <v>2321</v>
      </c>
    </row>
    <row r="302" spans="2:2">
      <c r="B302" s="165" t="s">
        <v>2322</v>
      </c>
    </row>
    <row r="303" spans="2:2">
      <c r="B303" t="s">
        <v>2323</v>
      </c>
    </row>
    <row r="304" spans="2:2">
      <c r="B304" t="s">
        <v>2324</v>
      </c>
    </row>
    <row r="305" spans="2:2">
      <c r="B305" t="s">
        <v>2325</v>
      </c>
    </row>
    <row r="306" spans="2:2">
      <c r="B306" t="s">
        <v>2326</v>
      </c>
    </row>
    <row r="307" spans="2:2">
      <c r="B307" t="s">
        <v>2327</v>
      </c>
    </row>
    <row r="308" spans="2:2">
      <c r="B308" t="s">
        <v>2328</v>
      </c>
    </row>
    <row r="309" spans="2:2">
      <c r="B309" t="s">
        <v>2329</v>
      </c>
    </row>
    <row r="310" spans="2:2">
      <c r="B310" t="s">
        <v>2330</v>
      </c>
    </row>
    <row r="311" spans="2:2">
      <c r="B311" t="s">
        <v>2331</v>
      </c>
    </row>
    <row r="312" spans="2:2">
      <c r="B312" t="s">
        <v>2332</v>
      </c>
    </row>
    <row r="313" spans="2:2">
      <c r="B313" t="s">
        <v>2333</v>
      </c>
    </row>
    <row r="314" spans="2:2">
      <c r="B314" t="s">
        <v>2334</v>
      </c>
    </row>
    <row r="315" spans="2:2">
      <c r="B315" t="s">
        <v>2335</v>
      </c>
    </row>
    <row r="316" spans="2:2">
      <c r="B316" t="s">
        <v>2336</v>
      </c>
    </row>
    <row r="317" spans="2:2">
      <c r="B317" t="s">
        <v>2337</v>
      </c>
    </row>
    <row r="318" spans="2:2">
      <c r="B318" t="s">
        <v>2338</v>
      </c>
    </row>
    <row r="319" spans="2:2">
      <c r="B319" t="s">
        <v>2339</v>
      </c>
    </row>
    <row r="320" spans="2:2">
      <c r="B320" t="s">
        <v>2340</v>
      </c>
    </row>
    <row r="321" spans="2:2">
      <c r="B321" t="s">
        <v>2341</v>
      </c>
    </row>
    <row r="322" spans="2:2">
      <c r="B322" t="s">
        <v>2342</v>
      </c>
    </row>
    <row r="323" spans="2:2">
      <c r="B323" t="s">
        <v>2343</v>
      </c>
    </row>
    <row r="324" spans="2:2">
      <c r="B324" t="s">
        <v>2344</v>
      </c>
    </row>
    <row r="325" spans="2:2">
      <c r="B325" t="s">
        <v>2345</v>
      </c>
    </row>
    <row r="326" spans="2:2">
      <c r="B326" t="s">
        <v>2346</v>
      </c>
    </row>
    <row r="327" spans="2:2">
      <c r="B327" t="s">
        <v>2347</v>
      </c>
    </row>
    <row r="328" spans="2:2">
      <c r="B328" t="s">
        <v>2348</v>
      </c>
    </row>
    <row r="329" spans="2:2">
      <c r="B329" t="s">
        <v>2349</v>
      </c>
    </row>
    <row r="330" spans="2:2">
      <c r="B330" t="s">
        <v>2350</v>
      </c>
    </row>
    <row r="331" spans="2:2">
      <c r="B331" t="s">
        <v>2351</v>
      </c>
    </row>
    <row r="332" spans="2:2">
      <c r="B332" t="s">
        <v>2352</v>
      </c>
    </row>
    <row r="333" spans="2:2">
      <c r="B333" t="s">
        <v>2353</v>
      </c>
    </row>
    <row r="334" spans="2:2">
      <c r="B334" t="s">
        <v>2354</v>
      </c>
    </row>
    <row r="335" spans="2:2">
      <c r="B335" t="s">
        <v>2355</v>
      </c>
    </row>
    <row r="336" spans="2:2">
      <c r="B336" t="s">
        <v>2356</v>
      </c>
    </row>
    <row r="337" spans="2:2">
      <c r="B337" t="s">
        <v>2357</v>
      </c>
    </row>
    <row r="338" spans="2:2">
      <c r="B338" t="s">
        <v>2358</v>
      </c>
    </row>
    <row r="339" spans="2:2">
      <c r="B339" t="s">
        <v>2359</v>
      </c>
    </row>
    <row r="340" spans="2:2">
      <c r="B340" t="s">
        <v>2360</v>
      </c>
    </row>
    <row r="341" spans="2:2">
      <c r="B341" t="s">
        <v>2361</v>
      </c>
    </row>
    <row r="342" spans="2:2">
      <c r="B342" t="s">
        <v>2362</v>
      </c>
    </row>
    <row r="343" spans="2:2">
      <c r="B343" t="s">
        <v>2363</v>
      </c>
    </row>
    <row r="344" spans="2:2">
      <c r="B344" t="s">
        <v>2364</v>
      </c>
    </row>
    <row r="345" spans="2:2">
      <c r="B345" t="s">
        <v>2365</v>
      </c>
    </row>
    <row r="346" spans="2:2">
      <c r="B346" t="s">
        <v>2366</v>
      </c>
    </row>
    <row r="347" spans="2:2">
      <c r="B347" t="s">
        <v>2367</v>
      </c>
    </row>
    <row r="348" spans="2:2">
      <c r="B348" t="s">
        <v>2368</v>
      </c>
    </row>
    <row r="349" spans="2:2">
      <c r="B349" t="s">
        <v>2369</v>
      </c>
    </row>
    <row r="350" spans="2:2">
      <c r="B350" t="s">
        <v>2370</v>
      </c>
    </row>
    <row r="351" spans="2:2">
      <c r="B351" s="165" t="s">
        <v>2371</v>
      </c>
    </row>
    <row r="352" spans="2:2">
      <c r="B352" s="165" t="s">
        <v>2372</v>
      </c>
    </row>
    <row r="353" spans="2:2">
      <c r="B353" s="165" t="s">
        <v>2373</v>
      </c>
    </row>
    <row r="354" spans="2:2">
      <c r="B354" s="165" t="s">
        <v>2374</v>
      </c>
    </row>
    <row r="355" spans="2:2">
      <c r="B355" s="165" t="s">
        <v>2375</v>
      </c>
    </row>
    <row r="356" spans="2:2">
      <c r="B356" s="165" t="s">
        <v>2376</v>
      </c>
    </row>
    <row r="357" spans="2:2">
      <c r="B357" s="165" t="s">
        <v>2377</v>
      </c>
    </row>
    <row r="358" spans="2:2">
      <c r="B358" s="165" t="s">
        <v>2378</v>
      </c>
    </row>
    <row r="359" spans="2:2">
      <c r="B359" s="165" t="s">
        <v>2379</v>
      </c>
    </row>
    <row r="360" spans="2:2">
      <c r="B360" s="165" t="s">
        <v>2380</v>
      </c>
    </row>
    <row r="361" spans="2:2">
      <c r="B361" s="165" t="s">
        <v>2381</v>
      </c>
    </row>
    <row r="362" spans="2:2">
      <c r="B362" t="s">
        <v>2382</v>
      </c>
    </row>
    <row r="363" spans="2:2">
      <c r="B363" t="s">
        <v>2383</v>
      </c>
    </row>
    <row r="364" spans="2:2">
      <c r="B364" t="s">
        <v>2384</v>
      </c>
    </row>
    <row r="365" spans="2:2">
      <c r="B365" t="s">
        <v>2385</v>
      </c>
    </row>
    <row r="366" spans="2:2">
      <c r="B366" t="s">
        <v>2386</v>
      </c>
    </row>
    <row r="367" spans="2:2">
      <c r="B367" t="s">
        <v>2387</v>
      </c>
    </row>
    <row r="368" spans="2:2">
      <c r="B368" t="s">
        <v>2388</v>
      </c>
    </row>
    <row r="369" spans="2:2">
      <c r="B369" t="s">
        <v>2389</v>
      </c>
    </row>
    <row r="370" spans="2:2">
      <c r="B370" t="s">
        <v>2390</v>
      </c>
    </row>
    <row r="371" spans="2:2">
      <c r="B371" t="s">
        <v>2391</v>
      </c>
    </row>
    <row r="372" spans="2:2">
      <c r="B372" t="s">
        <v>2392</v>
      </c>
    </row>
    <row r="373" spans="2:2">
      <c r="B373" t="s">
        <v>2393</v>
      </c>
    </row>
    <row r="374" spans="2:2">
      <c r="B374" t="s">
        <v>2394</v>
      </c>
    </row>
    <row r="375" spans="2:2">
      <c r="B375" t="s">
        <v>2395</v>
      </c>
    </row>
    <row r="376" spans="2:2">
      <c r="B376" t="s">
        <v>2396</v>
      </c>
    </row>
    <row r="377" spans="2:2">
      <c r="B377" t="s">
        <v>2397</v>
      </c>
    </row>
    <row r="378" spans="2:2">
      <c r="B378" t="s">
        <v>2398</v>
      </c>
    </row>
    <row r="379" spans="2:2">
      <c r="B379" t="s">
        <v>2399</v>
      </c>
    </row>
    <row r="380" spans="2:2">
      <c r="B380" t="s">
        <v>2400</v>
      </c>
    </row>
    <row r="381" spans="2:2">
      <c r="B381" t="s">
        <v>2401</v>
      </c>
    </row>
    <row r="382" spans="2:2">
      <c r="B382" t="s">
        <v>2402</v>
      </c>
    </row>
    <row r="383" spans="2:2">
      <c r="B383" t="s">
        <v>2403</v>
      </c>
    </row>
    <row r="384" spans="2:2">
      <c r="B384" t="s">
        <v>2404</v>
      </c>
    </row>
    <row r="385" spans="2:2">
      <c r="B385" t="s">
        <v>2405</v>
      </c>
    </row>
    <row r="386" spans="2:2">
      <c r="B386" t="s">
        <v>2406</v>
      </c>
    </row>
    <row r="387" spans="2:2">
      <c r="B387" t="s">
        <v>2407</v>
      </c>
    </row>
    <row r="388" spans="2:2">
      <c r="B388" t="s">
        <v>2408</v>
      </c>
    </row>
    <row r="389" spans="2:2">
      <c r="B389" t="s">
        <v>2409</v>
      </c>
    </row>
    <row r="390" spans="2:2">
      <c r="B390" t="s">
        <v>2410</v>
      </c>
    </row>
    <row r="391" spans="2:2">
      <c r="B391" t="s">
        <v>2411</v>
      </c>
    </row>
    <row r="392" spans="2:2">
      <c r="B392" t="s">
        <v>2412</v>
      </c>
    </row>
    <row r="393" spans="2:2">
      <c r="B393" t="s">
        <v>2413</v>
      </c>
    </row>
    <row r="394" spans="2:2">
      <c r="B394" t="s">
        <v>2414</v>
      </c>
    </row>
    <row r="395" spans="2:2">
      <c r="B395" t="s">
        <v>2415</v>
      </c>
    </row>
    <row r="396" spans="2:2">
      <c r="B396" t="s">
        <v>2416</v>
      </c>
    </row>
    <row r="397" spans="2:2">
      <c r="B397" t="s">
        <v>2417</v>
      </c>
    </row>
    <row r="398" spans="2:2">
      <c r="B398" t="s">
        <v>2418</v>
      </c>
    </row>
    <row r="399" spans="2:2">
      <c r="B399" t="s">
        <v>2419</v>
      </c>
    </row>
    <row r="400" spans="2:2">
      <c r="B400" t="s">
        <v>2420</v>
      </c>
    </row>
    <row r="401" spans="2:2">
      <c r="B401" t="s">
        <v>2421</v>
      </c>
    </row>
    <row r="402" spans="2:2">
      <c r="B402" t="s">
        <v>2422</v>
      </c>
    </row>
    <row r="403" spans="2:2">
      <c r="B403" t="s">
        <v>2423</v>
      </c>
    </row>
    <row r="404" spans="2:2">
      <c r="B404" t="s">
        <v>2424</v>
      </c>
    </row>
    <row r="405" spans="2:2">
      <c r="B405" t="s">
        <v>2425</v>
      </c>
    </row>
    <row r="406" spans="2:2">
      <c r="B406" t="s">
        <v>2426</v>
      </c>
    </row>
    <row r="407" spans="2:2">
      <c r="B407" t="s">
        <v>2427</v>
      </c>
    </row>
    <row r="408" spans="2:2">
      <c r="B408" t="s">
        <v>2428</v>
      </c>
    </row>
    <row r="409" spans="2:2">
      <c r="B409" t="s">
        <v>2429</v>
      </c>
    </row>
    <row r="410" spans="2:2">
      <c r="B410" t="s">
        <v>2430</v>
      </c>
    </row>
    <row r="411" spans="2:2">
      <c r="B411" t="s">
        <v>2431</v>
      </c>
    </row>
    <row r="412" spans="2:2">
      <c r="B412" t="s">
        <v>2432</v>
      </c>
    </row>
    <row r="413" spans="2:2">
      <c r="B413" t="s">
        <v>2433</v>
      </c>
    </row>
    <row r="414" spans="2:2">
      <c r="B414" t="s">
        <v>2434</v>
      </c>
    </row>
    <row r="415" spans="2:2">
      <c r="B415" t="s">
        <v>2435</v>
      </c>
    </row>
    <row r="416" spans="2:2">
      <c r="B416" t="s">
        <v>2436</v>
      </c>
    </row>
    <row r="417" spans="2:2">
      <c r="B417" t="s">
        <v>2437</v>
      </c>
    </row>
    <row r="418" spans="2:2">
      <c r="B418" t="s">
        <v>2438</v>
      </c>
    </row>
    <row r="419" spans="2:2">
      <c r="B419" t="s">
        <v>2439</v>
      </c>
    </row>
    <row r="420" spans="2:2">
      <c r="B420" t="s">
        <v>2440</v>
      </c>
    </row>
    <row r="421" spans="2:2">
      <c r="B421" t="s">
        <v>2441</v>
      </c>
    </row>
    <row r="422" spans="2:2">
      <c r="B422" t="s">
        <v>2442</v>
      </c>
    </row>
    <row r="423" spans="2:2">
      <c r="B423" t="s">
        <v>2443</v>
      </c>
    </row>
    <row r="424" spans="2:2">
      <c r="B424" t="s">
        <v>2444</v>
      </c>
    </row>
    <row r="425" spans="2:2">
      <c r="B425" t="s">
        <v>2445</v>
      </c>
    </row>
    <row r="426" spans="2:2">
      <c r="B426" t="s">
        <v>2446</v>
      </c>
    </row>
    <row r="427" spans="2:2">
      <c r="B427" t="s">
        <v>2447</v>
      </c>
    </row>
    <row r="428" spans="2:2">
      <c r="B428" t="s">
        <v>2448</v>
      </c>
    </row>
    <row r="429" spans="2:2">
      <c r="B429" t="s">
        <v>2449</v>
      </c>
    </row>
    <row r="430" spans="2:2">
      <c r="B430" t="s">
        <v>2450</v>
      </c>
    </row>
    <row r="431" spans="2:2">
      <c r="B431" t="s">
        <v>2451</v>
      </c>
    </row>
    <row r="432" spans="2:2">
      <c r="B432" t="s">
        <v>2452</v>
      </c>
    </row>
    <row r="433" spans="2:2">
      <c r="B433" t="s">
        <v>2453</v>
      </c>
    </row>
    <row r="434" spans="2:2">
      <c r="B434" t="s">
        <v>2454</v>
      </c>
    </row>
    <row r="435" spans="2:2">
      <c r="B435" t="s">
        <v>2455</v>
      </c>
    </row>
    <row r="436" spans="2:2">
      <c r="B436" t="s">
        <v>2456</v>
      </c>
    </row>
    <row r="437" spans="2:2">
      <c r="B437" t="s">
        <v>2457</v>
      </c>
    </row>
    <row r="438" spans="2:2">
      <c r="B438" t="s">
        <v>2458</v>
      </c>
    </row>
    <row r="439" spans="2:2">
      <c r="B439" t="s">
        <v>2459</v>
      </c>
    </row>
    <row r="440" spans="2:2">
      <c r="B440" t="s">
        <v>2460</v>
      </c>
    </row>
    <row r="441" spans="2:2">
      <c r="B441" t="s">
        <v>2461</v>
      </c>
    </row>
    <row r="442" spans="2:2">
      <c r="B442" t="s">
        <v>2462</v>
      </c>
    </row>
    <row r="443" spans="2:2">
      <c r="B443" t="s">
        <v>2463</v>
      </c>
    </row>
    <row r="444" spans="2:2">
      <c r="B444" t="s">
        <v>2464</v>
      </c>
    </row>
    <row r="445" spans="2:2">
      <c r="B445" t="s">
        <v>2465</v>
      </c>
    </row>
    <row r="446" spans="2:2">
      <c r="B446" t="s">
        <v>2466</v>
      </c>
    </row>
    <row r="447" spans="2:2">
      <c r="B447" t="s">
        <v>2467</v>
      </c>
    </row>
    <row r="448" spans="2:2">
      <c r="B448" t="s">
        <v>2468</v>
      </c>
    </row>
    <row r="449" spans="2:2">
      <c r="B449" t="s">
        <v>2469</v>
      </c>
    </row>
    <row r="450" spans="2:2">
      <c r="B450" t="s">
        <v>2470</v>
      </c>
    </row>
    <row r="451" spans="2:2">
      <c r="B451" t="s">
        <v>2471</v>
      </c>
    </row>
    <row r="452" spans="2:2">
      <c r="B452" t="s">
        <v>2472</v>
      </c>
    </row>
    <row r="453" spans="2:2">
      <c r="B453" t="s">
        <v>2473</v>
      </c>
    </row>
    <row r="454" spans="2:2">
      <c r="B454" t="s">
        <v>2474</v>
      </c>
    </row>
    <row r="455" spans="2:2">
      <c r="B455" t="s">
        <v>2475</v>
      </c>
    </row>
    <row r="456" spans="2:2">
      <c r="B456" t="s">
        <v>2476</v>
      </c>
    </row>
    <row r="457" spans="2:2">
      <c r="B457" t="s">
        <v>2477</v>
      </c>
    </row>
    <row r="458" spans="2:2">
      <c r="B458" t="s">
        <v>2478</v>
      </c>
    </row>
    <row r="459" spans="2:2">
      <c r="B459" t="s">
        <v>2479</v>
      </c>
    </row>
    <row r="460" spans="2:2">
      <c r="B460" t="s">
        <v>2480</v>
      </c>
    </row>
    <row r="461" spans="2:2">
      <c r="B461" t="s">
        <v>2481</v>
      </c>
    </row>
    <row r="462" spans="2:2">
      <c r="B462" t="s">
        <v>2482</v>
      </c>
    </row>
    <row r="463" spans="2:2">
      <c r="B463" t="s">
        <v>2483</v>
      </c>
    </row>
    <row r="464" spans="2:2">
      <c r="B464" t="s">
        <v>2484</v>
      </c>
    </row>
    <row r="465" spans="2:2">
      <c r="B465" t="s">
        <v>2485</v>
      </c>
    </row>
    <row r="466" spans="2:2">
      <c r="B466" t="s">
        <v>2486</v>
      </c>
    </row>
    <row r="467" spans="2:2">
      <c r="B467" t="s">
        <v>2487</v>
      </c>
    </row>
    <row r="468" spans="2:2">
      <c r="B468" t="s">
        <v>2488</v>
      </c>
    </row>
    <row r="469" spans="2:2">
      <c r="B469" t="s">
        <v>2489</v>
      </c>
    </row>
    <row r="470" spans="2:2">
      <c r="B470" t="s">
        <v>2490</v>
      </c>
    </row>
    <row r="471" spans="2:2">
      <c r="B471" t="s">
        <v>2491</v>
      </c>
    </row>
    <row r="472" spans="2:2">
      <c r="B472" t="s">
        <v>2492</v>
      </c>
    </row>
    <row r="473" spans="2:2">
      <c r="B473" t="s">
        <v>2493</v>
      </c>
    </row>
    <row r="474" spans="2:2">
      <c r="B474" t="s">
        <v>2494</v>
      </c>
    </row>
    <row r="475" spans="2:2">
      <c r="B475" t="s">
        <v>2495</v>
      </c>
    </row>
    <row r="476" spans="2:2">
      <c r="B476" t="s">
        <v>2496</v>
      </c>
    </row>
    <row r="477" spans="2:2">
      <c r="B477" t="s">
        <v>2497</v>
      </c>
    </row>
    <row r="478" spans="2:2">
      <c r="B478" t="s">
        <v>2498</v>
      </c>
    </row>
    <row r="479" spans="2:2">
      <c r="B479" t="s">
        <v>2499</v>
      </c>
    </row>
    <row r="480" spans="2:2">
      <c r="B480" t="s">
        <v>2500</v>
      </c>
    </row>
    <row r="481" spans="2:2">
      <c r="B481" t="s">
        <v>2501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4CEB1-8C47-458E-9767-6E04C4CCA7CB}">
  <dimension ref="A1:H14"/>
  <sheetViews>
    <sheetView workbookViewId="0">
      <pane ySplit="1" topLeftCell="A2" activePane="bottomLeft" state="frozen"/>
      <selection pane="bottomLeft" activeCell="E4" sqref="E4"/>
    </sheetView>
  </sheetViews>
  <sheetFormatPr defaultRowHeight="15"/>
  <cols>
    <col min="1" max="1" width="11.42578125" customWidth="1"/>
    <col min="2" max="2" width="12.5703125" customWidth="1"/>
    <col min="3" max="3" width="10.7109375" customWidth="1"/>
    <col min="4" max="4" width="10.28515625" customWidth="1"/>
    <col min="5" max="5" width="26.42578125" customWidth="1"/>
    <col min="6" max="6" width="59" customWidth="1"/>
    <col min="7" max="7" width="23.7109375" customWidth="1"/>
    <col min="8" max="8" width="56.7109375" customWidth="1"/>
  </cols>
  <sheetData>
    <row r="1" spans="1:8" ht="39.75" customHeight="1">
      <c r="A1" s="29" t="s">
        <v>360</v>
      </c>
      <c r="B1" s="29" t="s">
        <v>9</v>
      </c>
      <c r="C1" s="30" t="s">
        <v>361</v>
      </c>
      <c r="D1" s="29" t="s">
        <v>7</v>
      </c>
      <c r="E1" s="29" t="s">
        <v>1</v>
      </c>
      <c r="F1" s="31" t="s">
        <v>362</v>
      </c>
      <c r="G1" s="31" t="s">
        <v>363</v>
      </c>
      <c r="H1" s="30" t="s">
        <v>364</v>
      </c>
    </row>
    <row r="2" spans="1:8" s="41" customFormat="1" ht="21" customHeight="1">
      <c r="A2" s="187" t="s">
        <v>365</v>
      </c>
      <c r="B2" s="187"/>
      <c r="C2" s="187"/>
      <c r="D2" s="187"/>
      <c r="E2" s="187"/>
      <c r="F2" s="187"/>
      <c r="G2" s="187"/>
      <c r="H2" s="187"/>
    </row>
    <row r="3" spans="1:8" ht="47.25" customHeight="1">
      <c r="A3" s="93" t="s">
        <v>14</v>
      </c>
      <c r="B3" s="94"/>
      <c r="C3" s="93" t="s">
        <v>366</v>
      </c>
      <c r="D3" s="93" t="s">
        <v>367</v>
      </c>
      <c r="E3" s="95" t="s">
        <v>368</v>
      </c>
      <c r="F3" s="96" t="s">
        <v>369</v>
      </c>
      <c r="G3" s="97" t="s">
        <v>16</v>
      </c>
      <c r="H3" s="96" t="s">
        <v>370</v>
      </c>
    </row>
    <row r="4" spans="1:8" ht="47.25" customHeight="1">
      <c r="A4" s="98" t="s">
        <v>14</v>
      </c>
      <c r="B4" s="99"/>
      <c r="C4" s="98" t="s">
        <v>371</v>
      </c>
      <c r="D4" s="98" t="s">
        <v>372</v>
      </c>
      <c r="E4" s="100"/>
      <c r="F4" s="101" t="s">
        <v>373</v>
      </c>
      <c r="G4" s="102" t="s">
        <v>374</v>
      </c>
      <c r="H4" s="101" t="s">
        <v>375</v>
      </c>
    </row>
    <row r="5" spans="1:8" ht="90">
      <c r="A5" s="93" t="s">
        <v>14</v>
      </c>
      <c r="B5" s="94"/>
      <c r="C5" s="93" t="s">
        <v>366</v>
      </c>
      <c r="D5" s="93" t="s">
        <v>367</v>
      </c>
      <c r="E5" s="95" t="s">
        <v>376</v>
      </c>
      <c r="F5" s="96" t="s">
        <v>377</v>
      </c>
      <c r="G5" s="97" t="s">
        <v>378</v>
      </c>
      <c r="H5" s="96" t="s">
        <v>379</v>
      </c>
    </row>
    <row r="6" spans="1:8" ht="47.25" customHeight="1">
      <c r="A6" s="98" t="s">
        <v>14</v>
      </c>
      <c r="B6" s="99"/>
      <c r="C6" s="98" t="s">
        <v>371</v>
      </c>
      <c r="D6" s="98" t="s">
        <v>372</v>
      </c>
      <c r="E6" s="100"/>
      <c r="F6" s="101" t="s">
        <v>373</v>
      </c>
      <c r="G6" s="102" t="s">
        <v>374</v>
      </c>
      <c r="H6" s="101" t="s">
        <v>375</v>
      </c>
    </row>
    <row r="7" spans="1:8" ht="54" customHeight="1">
      <c r="A7" s="93" t="s">
        <v>14</v>
      </c>
      <c r="B7" s="94"/>
      <c r="C7" s="93" t="s">
        <v>366</v>
      </c>
      <c r="D7" s="93" t="s">
        <v>367</v>
      </c>
      <c r="E7" s="95" t="s">
        <v>380</v>
      </c>
      <c r="F7" s="95" t="s">
        <v>380</v>
      </c>
      <c r="G7" s="97" t="s">
        <v>14</v>
      </c>
      <c r="H7" s="96" t="s">
        <v>381</v>
      </c>
    </row>
    <row r="8" spans="1:8" ht="47.25" customHeight="1">
      <c r="A8" s="98" t="s">
        <v>14</v>
      </c>
      <c r="B8" s="99"/>
      <c r="C8" s="98" t="s">
        <v>371</v>
      </c>
      <c r="D8" s="98" t="s">
        <v>372</v>
      </c>
      <c r="E8" s="100"/>
      <c r="F8" s="101" t="s">
        <v>373</v>
      </c>
      <c r="G8" s="102" t="s">
        <v>374</v>
      </c>
      <c r="H8" s="101" t="s">
        <v>375</v>
      </c>
    </row>
    <row r="9" spans="1:8" ht="75">
      <c r="A9" s="93" t="s">
        <v>14</v>
      </c>
      <c r="B9" s="94"/>
      <c r="C9" s="93" t="s">
        <v>366</v>
      </c>
      <c r="D9" s="93" t="s">
        <v>367</v>
      </c>
      <c r="E9" s="95" t="s">
        <v>382</v>
      </c>
      <c r="F9" s="96" t="s">
        <v>383</v>
      </c>
      <c r="G9" s="97" t="s">
        <v>378</v>
      </c>
      <c r="H9" s="96" t="s">
        <v>384</v>
      </c>
    </row>
    <row r="10" spans="1:8" ht="47.25" customHeight="1">
      <c r="A10" s="98" t="s">
        <v>14</v>
      </c>
      <c r="B10" s="99"/>
      <c r="C10" s="98" t="s">
        <v>371</v>
      </c>
      <c r="D10" s="98" t="s">
        <v>372</v>
      </c>
      <c r="E10" s="100"/>
      <c r="F10" s="101" t="s">
        <v>373</v>
      </c>
      <c r="G10" s="102" t="s">
        <v>374</v>
      </c>
      <c r="H10" s="101" t="s">
        <v>375</v>
      </c>
    </row>
    <row r="11" spans="1:8" ht="60">
      <c r="A11" s="93" t="s">
        <v>14</v>
      </c>
      <c r="B11" s="94"/>
      <c r="C11" s="93" t="s">
        <v>366</v>
      </c>
      <c r="D11" s="93" t="s">
        <v>367</v>
      </c>
      <c r="E11" s="95" t="s">
        <v>385</v>
      </c>
      <c r="F11" s="96" t="s">
        <v>386</v>
      </c>
      <c r="G11" s="97" t="s">
        <v>14</v>
      </c>
      <c r="H11" s="96" t="s">
        <v>387</v>
      </c>
    </row>
    <row r="12" spans="1:8" ht="47.25" customHeight="1">
      <c r="A12" s="98" t="s">
        <v>14</v>
      </c>
      <c r="B12" s="99"/>
      <c r="C12" s="98" t="s">
        <v>371</v>
      </c>
      <c r="D12" s="98" t="s">
        <v>372</v>
      </c>
      <c r="E12" s="100"/>
      <c r="F12" s="101" t="s">
        <v>373</v>
      </c>
      <c r="G12" s="102" t="s">
        <v>374</v>
      </c>
      <c r="H12" s="101" t="s">
        <v>375</v>
      </c>
    </row>
    <row r="13" spans="1:8" ht="33" customHeight="1">
      <c r="A13" s="187" t="s">
        <v>388</v>
      </c>
      <c r="B13" s="187"/>
      <c r="C13" s="187"/>
      <c r="D13" s="187"/>
      <c r="E13" s="187"/>
      <c r="F13" s="187"/>
      <c r="G13" s="187"/>
      <c r="H13" s="187"/>
    </row>
    <row r="14" spans="1:8" ht="42.75" customHeight="1">
      <c r="A14" s="99"/>
      <c r="B14" s="99"/>
      <c r="C14" s="59"/>
      <c r="D14" s="99"/>
      <c r="E14" s="103"/>
      <c r="F14" s="101"/>
      <c r="G14" s="41"/>
    </row>
  </sheetData>
  <mergeCells count="2">
    <mergeCell ref="A2:H2"/>
    <mergeCell ref="A13:H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C609-7DA3-456C-BB61-8452DA070C2E}">
  <dimension ref="A1:H39"/>
  <sheetViews>
    <sheetView zoomScaleNormal="100" workbookViewId="0">
      <selection activeCell="F6" sqref="F6"/>
    </sheetView>
  </sheetViews>
  <sheetFormatPr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5703125" customWidth="1"/>
    <col min="8" max="8" width="97.28515625" customWidth="1"/>
  </cols>
  <sheetData>
    <row r="1" spans="1:8" ht="39.75" customHeight="1">
      <c r="A1" s="29" t="s">
        <v>360</v>
      </c>
      <c r="B1" s="29" t="s">
        <v>9</v>
      </c>
      <c r="C1" s="30" t="s">
        <v>361</v>
      </c>
      <c r="D1" s="29" t="s">
        <v>7</v>
      </c>
      <c r="E1" s="29" t="s">
        <v>1</v>
      </c>
      <c r="F1" s="31" t="s">
        <v>362</v>
      </c>
      <c r="G1" s="31" t="s">
        <v>363</v>
      </c>
      <c r="H1" s="30" t="s">
        <v>364</v>
      </c>
    </row>
    <row r="2" spans="1:8" ht="30" customHeight="1">
      <c r="A2" s="187" t="s">
        <v>389</v>
      </c>
      <c r="B2" s="187"/>
      <c r="C2" s="187"/>
      <c r="D2" s="187"/>
      <c r="E2" s="187"/>
      <c r="F2" s="187"/>
      <c r="G2" s="187"/>
      <c r="H2" s="187"/>
    </row>
    <row r="3" spans="1:8" ht="30">
      <c r="A3" s="22" t="s">
        <v>16</v>
      </c>
      <c r="B3" s="22"/>
      <c r="C3" s="22" t="s">
        <v>16</v>
      </c>
      <c r="D3" s="22" t="s">
        <v>390</v>
      </c>
      <c r="E3" s="32" t="s">
        <v>391</v>
      </c>
      <c r="F3" s="33" t="s">
        <v>392</v>
      </c>
      <c r="G3" s="34">
        <f>SUM((G11*G12),(G29*G30))</f>
        <v>73.333333333333329</v>
      </c>
      <c r="H3" s="34" t="s">
        <v>393</v>
      </c>
    </row>
    <row r="4" spans="1:8" ht="46.5" customHeight="1">
      <c r="A4" s="187" t="s">
        <v>394</v>
      </c>
      <c r="B4" s="187"/>
      <c r="C4" s="187"/>
      <c r="D4" s="187"/>
      <c r="E4" s="187"/>
      <c r="F4" s="187"/>
      <c r="G4" s="187"/>
      <c r="H4" s="187"/>
    </row>
    <row r="5" spans="1:8" ht="33" customHeight="1">
      <c r="A5" t="s">
        <v>14</v>
      </c>
      <c r="C5" t="s">
        <v>14</v>
      </c>
      <c r="D5" t="s">
        <v>15</v>
      </c>
      <c r="E5" s="35" t="s">
        <v>395</v>
      </c>
      <c r="F5" s="36" t="s">
        <v>396</v>
      </c>
      <c r="G5" t="s">
        <v>397</v>
      </c>
    </row>
    <row r="6" spans="1:8">
      <c r="A6" t="s">
        <v>14</v>
      </c>
      <c r="C6" t="s">
        <v>14</v>
      </c>
      <c r="D6" t="s">
        <v>15</v>
      </c>
      <c r="F6" s="36" t="s">
        <v>398</v>
      </c>
      <c r="G6" t="s">
        <v>399</v>
      </c>
    </row>
    <row r="7" spans="1:8" ht="60">
      <c r="A7" s="25" t="s">
        <v>14</v>
      </c>
      <c r="B7" s="25"/>
      <c r="C7" s="25" t="s">
        <v>14</v>
      </c>
      <c r="D7" s="25" t="s">
        <v>400</v>
      </c>
      <c r="E7" s="25"/>
      <c r="F7" s="37" t="s">
        <v>401</v>
      </c>
      <c r="G7" s="25" t="s">
        <v>347</v>
      </c>
      <c r="H7" s="38" t="s">
        <v>402</v>
      </c>
    </row>
    <row r="8" spans="1:8" ht="30">
      <c r="A8" s="25" t="s">
        <v>14</v>
      </c>
      <c r="B8" s="25"/>
      <c r="C8" s="25" t="s">
        <v>14</v>
      </c>
      <c r="D8" s="25" t="s">
        <v>400</v>
      </c>
      <c r="E8" s="25"/>
      <c r="F8" s="37" t="s">
        <v>403</v>
      </c>
      <c r="G8" s="25" t="s">
        <v>404</v>
      </c>
      <c r="H8" s="26" t="s">
        <v>405</v>
      </c>
    </row>
    <row r="9" spans="1:8" ht="21">
      <c r="A9" s="188" t="s">
        <v>406</v>
      </c>
      <c r="B9" s="188"/>
      <c r="C9" s="188"/>
      <c r="D9" s="188"/>
      <c r="E9" s="188"/>
      <c r="F9" s="188"/>
      <c r="G9" s="188"/>
      <c r="H9" s="188"/>
    </row>
    <row r="10" spans="1:8" ht="30">
      <c r="A10" s="22" t="s">
        <v>16</v>
      </c>
      <c r="B10" s="22"/>
      <c r="C10" s="22" t="s">
        <v>16</v>
      </c>
      <c r="D10" s="22" t="s">
        <v>390</v>
      </c>
      <c r="E10" s="39" t="s">
        <v>407</v>
      </c>
      <c r="F10" s="33" t="s">
        <v>408</v>
      </c>
      <c r="G10" s="34">
        <f>G11*G12</f>
        <v>36.666666666666664</v>
      </c>
      <c r="H10" s="34"/>
    </row>
    <row r="11" spans="1:8" ht="30">
      <c r="A11" t="s">
        <v>14</v>
      </c>
      <c r="C11" t="s">
        <v>14</v>
      </c>
      <c r="D11" t="s">
        <v>91</v>
      </c>
      <c r="E11" s="40" t="s">
        <v>409</v>
      </c>
      <c r="F11" s="36" t="s">
        <v>410</v>
      </c>
      <c r="G11" s="41">
        <v>20</v>
      </c>
      <c r="H11" s="41"/>
    </row>
    <row r="12" spans="1:8" ht="30">
      <c r="A12" s="22" t="s">
        <v>14</v>
      </c>
      <c r="B12" s="22"/>
      <c r="C12" s="22" t="s">
        <v>16</v>
      </c>
      <c r="D12" s="22" t="s">
        <v>390</v>
      </c>
      <c r="E12" s="42" t="s">
        <v>411</v>
      </c>
      <c r="F12" s="33" t="s">
        <v>412</v>
      </c>
      <c r="G12" s="34">
        <f>G14</f>
        <v>1.8333333333333333</v>
      </c>
      <c r="H12" s="43" t="s">
        <v>413</v>
      </c>
    </row>
    <row r="13" spans="1:8" ht="21">
      <c r="A13" s="188" t="s">
        <v>414</v>
      </c>
      <c r="B13" s="188"/>
      <c r="C13" s="188"/>
      <c r="D13" s="188"/>
      <c r="E13" s="188"/>
      <c r="F13" s="188"/>
      <c r="G13" s="188"/>
      <c r="H13" s="188"/>
    </row>
    <row r="14" spans="1:8" ht="30">
      <c r="A14" s="22" t="s">
        <v>16</v>
      </c>
      <c r="B14" s="22"/>
      <c r="C14" s="22" t="s">
        <v>16</v>
      </c>
      <c r="D14" s="22" t="s">
        <v>390</v>
      </c>
      <c r="E14" s="39" t="s">
        <v>411</v>
      </c>
      <c r="F14" s="33" t="s">
        <v>415</v>
      </c>
      <c r="G14" s="34">
        <f>G16*(44/12)</f>
        <v>1.8333333333333333</v>
      </c>
      <c r="H14" s="34" t="s">
        <v>416</v>
      </c>
    </row>
    <row r="15" spans="1:8" ht="30">
      <c r="A15" s="22" t="s">
        <v>16</v>
      </c>
      <c r="B15" s="22"/>
      <c r="C15" s="22" t="s">
        <v>16</v>
      </c>
      <c r="D15" s="22" t="s">
        <v>390</v>
      </c>
      <c r="E15" s="39" t="s">
        <v>411</v>
      </c>
      <c r="F15" s="33" t="s">
        <v>417</v>
      </c>
      <c r="G15" s="34">
        <f>G16*G17*(44/12)</f>
        <v>3.6666666666666665</v>
      </c>
      <c r="H15" s="34" t="s">
        <v>418</v>
      </c>
    </row>
    <row r="16" spans="1:8" ht="30">
      <c r="A16" t="s">
        <v>14</v>
      </c>
      <c r="C16" t="s">
        <v>14</v>
      </c>
      <c r="D16" t="s">
        <v>91</v>
      </c>
      <c r="E16" s="40" t="s">
        <v>419</v>
      </c>
      <c r="F16" s="36" t="s">
        <v>420</v>
      </c>
      <c r="G16" s="41">
        <v>0.5</v>
      </c>
      <c r="H16" s="41"/>
    </row>
    <row r="17" spans="1:8" ht="30">
      <c r="A17" t="s">
        <v>14</v>
      </c>
      <c r="C17" t="s">
        <v>14</v>
      </c>
      <c r="D17" t="s">
        <v>91</v>
      </c>
      <c r="E17" s="40" t="s">
        <v>421</v>
      </c>
      <c r="F17" s="36" t="s">
        <v>422</v>
      </c>
      <c r="G17" s="41">
        <v>2</v>
      </c>
      <c r="H17" s="41"/>
    </row>
    <row r="18" spans="1:8" ht="21">
      <c r="A18" s="188" t="s">
        <v>423</v>
      </c>
      <c r="B18" s="188"/>
      <c r="C18" s="188"/>
      <c r="D18" s="188"/>
      <c r="E18" s="188"/>
      <c r="F18" s="188"/>
      <c r="G18" s="188"/>
      <c r="H18" s="188"/>
    </row>
    <row r="19" spans="1:8" ht="30">
      <c r="A19" s="22" t="s">
        <v>16</v>
      </c>
      <c r="B19" s="22"/>
      <c r="C19" s="22" t="s">
        <v>16</v>
      </c>
      <c r="D19" s="22" t="s">
        <v>390</v>
      </c>
      <c r="E19" s="39" t="s">
        <v>411</v>
      </c>
      <c r="F19" s="43" t="s">
        <v>412</v>
      </c>
      <c r="G19" s="34">
        <f>G20*G21</f>
        <v>11.15</v>
      </c>
      <c r="H19" s="34"/>
    </row>
    <row r="20" spans="1:8" ht="30">
      <c r="A20" t="s">
        <v>14</v>
      </c>
      <c r="C20" t="s">
        <v>14</v>
      </c>
      <c r="D20" t="s">
        <v>91</v>
      </c>
      <c r="E20" s="40" t="s">
        <v>424</v>
      </c>
      <c r="F20" s="1" t="s">
        <v>425</v>
      </c>
      <c r="G20" s="41">
        <v>0.5</v>
      </c>
      <c r="H20" s="41"/>
    </row>
    <row r="21" spans="1:8" ht="30">
      <c r="A21" t="s">
        <v>14</v>
      </c>
      <c r="C21" t="s">
        <v>14</v>
      </c>
      <c r="D21" t="s">
        <v>91</v>
      </c>
      <c r="E21" s="40" t="s">
        <v>426</v>
      </c>
      <c r="F21" s="1" t="s">
        <v>427</v>
      </c>
      <c r="G21" s="41">
        <v>22.3</v>
      </c>
      <c r="H21" s="41"/>
    </row>
    <row r="22" spans="1:8" ht="46.5" customHeight="1">
      <c r="A22" s="187" t="s">
        <v>428</v>
      </c>
      <c r="B22" s="187"/>
      <c r="C22" s="187"/>
      <c r="D22" s="187"/>
      <c r="E22" s="187"/>
      <c r="F22" s="187"/>
      <c r="G22" s="187"/>
      <c r="H22" s="187"/>
    </row>
    <row r="23" spans="1:8" ht="33" customHeight="1">
      <c r="A23" t="s">
        <v>14</v>
      </c>
      <c r="C23" t="s">
        <v>14</v>
      </c>
      <c r="D23" t="s">
        <v>15</v>
      </c>
      <c r="E23" s="40" t="s">
        <v>395</v>
      </c>
      <c r="F23" s="36" t="s">
        <v>396</v>
      </c>
      <c r="G23" t="s">
        <v>397</v>
      </c>
    </row>
    <row r="24" spans="1:8">
      <c r="A24" t="s">
        <v>14</v>
      </c>
      <c r="C24" t="s">
        <v>14</v>
      </c>
      <c r="D24" t="s">
        <v>15</v>
      </c>
      <c r="E24" s="44"/>
      <c r="F24" s="36" t="s">
        <v>398</v>
      </c>
      <c r="G24" t="s">
        <v>399</v>
      </c>
    </row>
    <row r="25" spans="1:8" ht="60">
      <c r="A25" s="25" t="s">
        <v>14</v>
      </c>
      <c r="B25" s="25"/>
      <c r="C25" s="25" t="s">
        <v>14</v>
      </c>
      <c r="D25" s="25" t="s">
        <v>429</v>
      </c>
      <c r="E25" s="45"/>
      <c r="F25" s="37" t="s">
        <v>401</v>
      </c>
      <c r="G25" s="25" t="s">
        <v>274</v>
      </c>
      <c r="H25" s="38" t="s">
        <v>402</v>
      </c>
    </row>
    <row r="26" spans="1:8" ht="30">
      <c r="A26" s="25" t="s">
        <v>14</v>
      </c>
      <c r="B26" s="25"/>
      <c r="C26" s="25" t="s">
        <v>14</v>
      </c>
      <c r="D26" s="25" t="s">
        <v>429</v>
      </c>
      <c r="E26" s="45"/>
      <c r="F26" s="37" t="s">
        <v>403</v>
      </c>
      <c r="G26" s="25" t="s">
        <v>430</v>
      </c>
      <c r="H26" s="26" t="s">
        <v>405</v>
      </c>
    </row>
    <row r="27" spans="1:8" ht="21">
      <c r="A27" s="188" t="s">
        <v>406</v>
      </c>
      <c r="B27" s="188"/>
      <c r="C27" s="188"/>
      <c r="D27" s="188"/>
      <c r="E27" s="188"/>
      <c r="F27" s="188"/>
      <c r="G27" s="188"/>
      <c r="H27" s="188"/>
    </row>
    <row r="28" spans="1:8" ht="30">
      <c r="A28" s="22" t="s">
        <v>16</v>
      </c>
      <c r="B28" s="22"/>
      <c r="C28" s="22" t="s">
        <v>16</v>
      </c>
      <c r="D28" s="22" t="s">
        <v>390</v>
      </c>
      <c r="E28" s="39" t="s">
        <v>407</v>
      </c>
      <c r="F28" s="33" t="s">
        <v>408</v>
      </c>
      <c r="G28" s="34">
        <f>G29*G30</f>
        <v>36.666666666666664</v>
      </c>
      <c r="H28" s="34"/>
    </row>
    <row r="29" spans="1:8" ht="30">
      <c r="A29" t="s">
        <v>14</v>
      </c>
      <c r="C29" t="s">
        <v>14</v>
      </c>
      <c r="D29" t="s">
        <v>91</v>
      </c>
      <c r="E29" s="40" t="s">
        <v>409</v>
      </c>
      <c r="F29" s="36" t="s">
        <v>410</v>
      </c>
      <c r="G29" s="41">
        <v>10</v>
      </c>
      <c r="H29" s="41"/>
    </row>
    <row r="30" spans="1:8" ht="30">
      <c r="A30" s="22" t="s">
        <v>14</v>
      </c>
      <c r="B30" s="22"/>
      <c r="C30" s="22" t="s">
        <v>14</v>
      </c>
      <c r="D30" s="22" t="s">
        <v>390</v>
      </c>
      <c r="E30" s="42" t="s">
        <v>411</v>
      </c>
      <c r="F30" s="33" t="s">
        <v>412</v>
      </c>
      <c r="G30" s="34">
        <f>G33</f>
        <v>3.6666666666666665</v>
      </c>
      <c r="H30" s="43" t="s">
        <v>431</v>
      </c>
    </row>
    <row r="31" spans="1:8" ht="21">
      <c r="A31" s="188" t="s">
        <v>414</v>
      </c>
      <c r="B31" s="188"/>
      <c r="C31" s="188"/>
      <c r="D31" s="188"/>
      <c r="E31" s="188"/>
      <c r="F31" s="188"/>
      <c r="G31" s="188"/>
      <c r="H31" s="188"/>
    </row>
    <row r="32" spans="1:8" ht="30">
      <c r="A32" s="22" t="s">
        <v>16</v>
      </c>
      <c r="B32" s="22"/>
      <c r="C32" s="22" t="s">
        <v>16</v>
      </c>
      <c r="D32" s="22" t="s">
        <v>390</v>
      </c>
      <c r="E32" s="39" t="s">
        <v>411</v>
      </c>
      <c r="F32" s="33" t="s">
        <v>415</v>
      </c>
      <c r="G32" s="34">
        <f>G34*(44/12)</f>
        <v>1.8333333333333333</v>
      </c>
      <c r="H32" s="34" t="s">
        <v>416</v>
      </c>
    </row>
    <row r="33" spans="1:8" ht="30">
      <c r="A33" s="22" t="s">
        <v>16</v>
      </c>
      <c r="B33" s="22"/>
      <c r="C33" s="22" t="s">
        <v>16</v>
      </c>
      <c r="D33" s="22" t="s">
        <v>390</v>
      </c>
      <c r="E33" s="39" t="s">
        <v>411</v>
      </c>
      <c r="F33" s="33" t="s">
        <v>417</v>
      </c>
      <c r="G33" s="34">
        <f>G34*G35*(44/12)</f>
        <v>3.6666666666666665</v>
      </c>
      <c r="H33" s="34" t="s">
        <v>418</v>
      </c>
    </row>
    <row r="34" spans="1:8" ht="30">
      <c r="A34" t="s">
        <v>14</v>
      </c>
      <c r="C34" t="s">
        <v>14</v>
      </c>
      <c r="D34" t="s">
        <v>91</v>
      </c>
      <c r="E34" s="40" t="s">
        <v>419</v>
      </c>
      <c r="F34" s="36" t="s">
        <v>420</v>
      </c>
      <c r="G34" s="41">
        <v>0.5</v>
      </c>
      <c r="H34" s="41"/>
    </row>
    <row r="35" spans="1:8" ht="30">
      <c r="A35" t="s">
        <v>14</v>
      </c>
      <c r="C35" t="s">
        <v>14</v>
      </c>
      <c r="D35" t="s">
        <v>91</v>
      </c>
      <c r="E35" s="40" t="s">
        <v>421</v>
      </c>
      <c r="F35" s="36" t="s">
        <v>422</v>
      </c>
      <c r="G35" s="41">
        <v>2</v>
      </c>
      <c r="H35" s="41"/>
    </row>
    <row r="36" spans="1:8" ht="21">
      <c r="A36" s="188" t="s">
        <v>423</v>
      </c>
      <c r="B36" s="188"/>
      <c r="C36" s="188"/>
      <c r="D36" s="188"/>
      <c r="E36" s="188"/>
      <c r="F36" s="188"/>
      <c r="G36" s="188"/>
      <c r="H36" s="188"/>
    </row>
    <row r="37" spans="1:8" ht="30">
      <c r="A37" s="22" t="s">
        <v>16</v>
      </c>
      <c r="B37" s="22"/>
      <c r="C37" s="22" t="s">
        <v>16</v>
      </c>
      <c r="D37" s="22" t="s">
        <v>390</v>
      </c>
      <c r="E37" s="39" t="s">
        <v>411</v>
      </c>
      <c r="F37" s="33" t="s">
        <v>412</v>
      </c>
      <c r="G37" s="34">
        <f>G38*G39</f>
        <v>11.15</v>
      </c>
      <c r="H37" s="34"/>
    </row>
    <row r="38" spans="1:8" ht="30">
      <c r="A38" t="s">
        <v>14</v>
      </c>
      <c r="C38" t="s">
        <v>14</v>
      </c>
      <c r="D38" t="s">
        <v>91</v>
      </c>
      <c r="E38" s="40" t="s">
        <v>424</v>
      </c>
      <c r="F38" s="36" t="s">
        <v>425</v>
      </c>
      <c r="G38" s="41">
        <v>0.5</v>
      </c>
      <c r="H38" s="41"/>
    </row>
    <row r="39" spans="1:8" ht="30">
      <c r="A39" t="s">
        <v>14</v>
      </c>
      <c r="C39" t="s">
        <v>14</v>
      </c>
      <c r="D39" t="s">
        <v>91</v>
      </c>
      <c r="E39" s="40" t="s">
        <v>426</v>
      </c>
      <c r="F39" s="36" t="s">
        <v>427</v>
      </c>
      <c r="G39" s="41">
        <v>22.3</v>
      </c>
      <c r="H39" s="41"/>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ABF594A3-D388-4252-95E5-C6F4CC6B2030}">
      <formula1>"Mass,Volume"</formula1>
    </dataValidation>
    <dataValidation type="list" allowBlank="1" showInputMessage="1" showErrorMessage="1" sqref="G7 G25" xr:uid="{F90732F5-B63C-4F1C-9ECC-8AFA1FEB0230}">
      <formula1>"Option A,Option B"</formula1>
    </dataValidation>
  </dataValidations>
  <pageMargins left="0.7" right="0.7" top="0.75" bottom="0.75" header="0.3" footer="0.3"/>
  <pageSetup scale="34"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B65D3-3D65-4C9C-9D4A-D01C84CAEC9B}">
  <dimension ref="A1:I87"/>
  <sheetViews>
    <sheetView workbookViewId="0">
      <selection activeCell="C94" sqref="C94"/>
    </sheetView>
  </sheetViews>
  <sheetFormatPr defaultRowHeight="15"/>
  <cols>
    <col min="1" max="1" width="20.140625" customWidth="1"/>
    <col min="2" max="2" width="122.42578125" customWidth="1"/>
    <col min="3" max="3" width="20.7109375" customWidth="1"/>
    <col min="5" max="5" width="12.85546875" customWidth="1"/>
    <col min="6" max="6" width="12.7109375" customWidth="1"/>
    <col min="7" max="7" width="16.140625" customWidth="1"/>
    <col min="8" max="8" width="19" customWidth="1"/>
  </cols>
  <sheetData>
    <row r="1" spans="1:8">
      <c r="A1" t="s">
        <v>1</v>
      </c>
      <c r="B1" t="s">
        <v>362</v>
      </c>
      <c r="C1" t="s">
        <v>363</v>
      </c>
      <c r="D1" t="s">
        <v>4</v>
      </c>
      <c r="E1" t="s">
        <v>7</v>
      </c>
      <c r="F1" t="s">
        <v>364</v>
      </c>
      <c r="G1" t="s">
        <v>361</v>
      </c>
      <c r="H1" t="s">
        <v>9</v>
      </c>
    </row>
    <row r="2" spans="1:8" s="21" customFormat="1">
      <c r="B2" s="21" t="s">
        <v>432</v>
      </c>
    </row>
    <row r="3" spans="1:8">
      <c r="B3" t="s">
        <v>433</v>
      </c>
      <c r="C3" t="s">
        <v>434</v>
      </c>
      <c r="D3" t="s">
        <v>14</v>
      </c>
      <c r="E3" t="s">
        <v>435</v>
      </c>
      <c r="G3" t="s">
        <v>16</v>
      </c>
    </row>
    <row r="4" spans="1:8">
      <c r="B4" t="s">
        <v>436</v>
      </c>
      <c r="C4" t="s">
        <v>437</v>
      </c>
      <c r="D4" t="s">
        <v>14</v>
      </c>
      <c r="E4" t="s">
        <v>435</v>
      </c>
      <c r="F4" t="s">
        <v>438</v>
      </c>
      <c r="G4" t="s">
        <v>16</v>
      </c>
    </row>
    <row r="5" spans="1:8" ht="30">
      <c r="B5" s="1" t="s">
        <v>439</v>
      </c>
      <c r="C5" t="s">
        <v>16</v>
      </c>
      <c r="D5" t="s">
        <v>14</v>
      </c>
      <c r="E5" t="s">
        <v>435</v>
      </c>
      <c r="G5" t="s">
        <v>16</v>
      </c>
    </row>
    <row r="6" spans="1:8">
      <c r="B6" s="1" t="s">
        <v>440</v>
      </c>
      <c r="C6" t="s">
        <v>14</v>
      </c>
      <c r="D6" t="s">
        <v>14</v>
      </c>
      <c r="E6" t="s">
        <v>435</v>
      </c>
      <c r="G6" t="s">
        <v>16</v>
      </c>
    </row>
    <row r="7" spans="1:8">
      <c r="B7" s="1" t="s">
        <v>441</v>
      </c>
      <c r="C7" t="s">
        <v>16</v>
      </c>
      <c r="D7" t="s">
        <v>14</v>
      </c>
      <c r="E7" t="s">
        <v>435</v>
      </c>
      <c r="G7" t="s">
        <v>16</v>
      </c>
    </row>
    <row r="8" spans="1:8">
      <c r="B8" t="s">
        <v>442</v>
      </c>
      <c r="C8" t="s">
        <v>443</v>
      </c>
      <c r="D8" t="s">
        <v>14</v>
      </c>
      <c r="E8" t="s">
        <v>435</v>
      </c>
      <c r="G8" t="s">
        <v>16</v>
      </c>
    </row>
    <row r="9" spans="1:8">
      <c r="B9" t="s">
        <v>444</v>
      </c>
      <c r="C9" t="s">
        <v>445</v>
      </c>
      <c r="D9" t="s">
        <v>14</v>
      </c>
      <c r="E9" t="s">
        <v>435</v>
      </c>
      <c r="G9" t="s">
        <v>16</v>
      </c>
    </row>
    <row r="10" spans="1:8">
      <c r="B10" t="s">
        <v>446</v>
      </c>
      <c r="C10" t="s">
        <v>447</v>
      </c>
      <c r="D10" t="s">
        <v>14</v>
      </c>
      <c r="E10" t="s">
        <v>435</v>
      </c>
      <c r="G10" t="s">
        <v>16</v>
      </c>
    </row>
    <row r="11" spans="1:8" ht="30">
      <c r="B11" s="120" t="s">
        <v>448</v>
      </c>
      <c r="C11" t="s">
        <v>449</v>
      </c>
      <c r="D11" t="str">
        <f>IF(C8="Option 2 (Estimated)","Yes","NA")</f>
        <v>Yes</v>
      </c>
      <c r="E11" t="s">
        <v>435</v>
      </c>
      <c r="G11" t="s">
        <v>16</v>
      </c>
    </row>
    <row r="12" spans="1:8">
      <c r="B12" s="120" t="s">
        <v>450</v>
      </c>
      <c r="C12" t="s">
        <v>16</v>
      </c>
      <c r="D12" t="str">
        <f>IF(C8="Option 2 (Estimated)","Yes","NA")</f>
        <v>Yes</v>
      </c>
      <c r="E12" t="s">
        <v>435</v>
      </c>
      <c r="G12" t="s">
        <v>16</v>
      </c>
    </row>
    <row r="13" spans="1:8">
      <c r="B13" s="120" t="s">
        <v>451</v>
      </c>
      <c r="C13" t="s">
        <v>14</v>
      </c>
      <c r="D13" t="str">
        <f>IF(C8="Option 2 (Estimated)","Yes","NA")</f>
        <v>Yes</v>
      </c>
      <c r="E13" t="s">
        <v>435</v>
      </c>
      <c r="G13" t="s">
        <v>16</v>
      </c>
    </row>
    <row r="14" spans="1:8">
      <c r="B14" s="120" t="s">
        <v>452</v>
      </c>
      <c r="C14" t="s">
        <v>453</v>
      </c>
      <c r="D14" t="str">
        <f>IF(C8="Option 2 (Estimated)","Yes","NA")</f>
        <v>Yes</v>
      </c>
      <c r="E14" t="s">
        <v>435</v>
      </c>
      <c r="G14" t="s">
        <v>16</v>
      </c>
    </row>
    <row r="15" spans="1:8">
      <c r="B15" s="120" t="s">
        <v>454</v>
      </c>
      <c r="C15" t="s">
        <v>16</v>
      </c>
      <c r="D15" t="str">
        <f>IF(C8="Option 2 (Estimated)","Yes","NA")</f>
        <v>Yes</v>
      </c>
      <c r="E15" t="s">
        <v>435</v>
      </c>
      <c r="G15" t="s">
        <v>16</v>
      </c>
    </row>
    <row r="16" spans="1:8">
      <c r="B16" s="120" t="s">
        <v>455</v>
      </c>
      <c r="C16" t="s">
        <v>16</v>
      </c>
      <c r="D16" t="str">
        <f>IF(C8="Option 2 (Estimated)","Yes","NA")</f>
        <v>Yes</v>
      </c>
      <c r="E16" t="s">
        <v>435</v>
      </c>
      <c r="G16" t="s">
        <v>16</v>
      </c>
    </row>
    <row r="17" spans="2:7">
      <c r="B17" s="120" t="s">
        <v>456</v>
      </c>
      <c r="C17" t="s">
        <v>457</v>
      </c>
      <c r="D17" t="str">
        <f>IF(AND(C4="Application B",C6="Yes"),"Yes","No")</f>
        <v>Yes</v>
      </c>
      <c r="E17" t="s">
        <v>435</v>
      </c>
      <c r="G17" t="s">
        <v>16</v>
      </c>
    </row>
    <row r="18" spans="2:7">
      <c r="B18" s="120" t="s">
        <v>458</v>
      </c>
      <c r="C18" t="s">
        <v>16</v>
      </c>
      <c r="D18" t="str">
        <f>IF(C4="Application B","Yes","NA")</f>
        <v>Yes</v>
      </c>
      <c r="E18" t="s">
        <v>435</v>
      </c>
      <c r="G18" t="s">
        <v>16</v>
      </c>
    </row>
    <row r="19" spans="2:7">
      <c r="B19" s="120" t="s">
        <v>459</v>
      </c>
      <c r="C19" t="s">
        <v>460</v>
      </c>
      <c r="D19" t="str">
        <f>IF(AND(C4="Application B",C18="Yes"),"NA","Yes")</f>
        <v>Yes</v>
      </c>
      <c r="E19" t="s">
        <v>435</v>
      </c>
      <c r="G19" t="s">
        <v>16</v>
      </c>
    </row>
    <row r="20" spans="2:7">
      <c r="B20" t="s">
        <v>461</v>
      </c>
      <c r="C20" t="s">
        <v>457</v>
      </c>
      <c r="D20" t="s">
        <v>14</v>
      </c>
      <c r="E20" t="s">
        <v>435</v>
      </c>
      <c r="F20" t="s">
        <v>462</v>
      </c>
      <c r="G20" t="s">
        <v>16</v>
      </c>
    </row>
    <row r="21" spans="2:7">
      <c r="B21" s="120" t="s">
        <v>463</v>
      </c>
      <c r="C21" t="s">
        <v>464</v>
      </c>
      <c r="D21" t="str">
        <f>IF(C20="Default","Yes","NA")</f>
        <v>Yes</v>
      </c>
      <c r="E21" t="s">
        <v>435</v>
      </c>
      <c r="G21" t="s">
        <v>16</v>
      </c>
    </row>
    <row r="22" spans="2:7">
      <c r="B22" s="120" t="s">
        <v>465</v>
      </c>
      <c r="D22" t="str">
        <f>IF(C21="Other","Yes","NA")</f>
        <v>NA</v>
      </c>
      <c r="E22" t="s">
        <v>435</v>
      </c>
      <c r="G22" t="s">
        <v>16</v>
      </c>
    </row>
    <row r="23" spans="2:7">
      <c r="B23" s="120" t="s">
        <v>466</v>
      </c>
      <c r="C23" t="s">
        <v>16</v>
      </c>
      <c r="D23" t="s">
        <v>14</v>
      </c>
      <c r="E23" t="s">
        <v>435</v>
      </c>
      <c r="G23" t="s">
        <v>16</v>
      </c>
    </row>
    <row r="24" spans="2:7" s="21" customFormat="1">
      <c r="B24" s="21" t="s">
        <v>467</v>
      </c>
    </row>
    <row r="25" spans="2:7">
      <c r="B25" s="90" t="s">
        <v>468</v>
      </c>
    </row>
    <row r="26" spans="2:7">
      <c r="B26" t="s">
        <v>469</v>
      </c>
      <c r="C26" s="22" t="str">
        <f>IF(C8="Option 2 (Estimated)","NA",IF(C4="Application A",0.75,IF(AND(C4="Application B",C9="Humid/wet conditions"),0.85,IF(AND(C4="Application B",C9="Dry conditions"),0.8,))))</f>
        <v>NA</v>
      </c>
      <c r="D26" t="str">
        <f>IF(C8="Option 1 (Default)","Yes","NA")</f>
        <v>NA</v>
      </c>
      <c r="E26" t="s">
        <v>200</v>
      </c>
      <c r="G26" t="s">
        <v>16</v>
      </c>
    </row>
    <row r="27" spans="2:7">
      <c r="B27" s="90" t="s">
        <v>470</v>
      </c>
    </row>
    <row r="28" spans="2:7">
      <c r="B28" t="s">
        <v>471</v>
      </c>
      <c r="C28" s="121">
        <f>IF(C8="Option 1 (Default)","NA",IF(C11="Weighed",0.02,IF(C11="Estimated",0.1)))</f>
        <v>0.1</v>
      </c>
      <c r="D28" t="str">
        <f>IF(C8="Option 2 (Estimated)","Yes","NA")</f>
        <v>Yes</v>
      </c>
      <c r="E28" t="s">
        <v>200</v>
      </c>
      <c r="G28" t="s">
        <v>16</v>
      </c>
    </row>
    <row r="29" spans="2:7">
      <c r="B29" t="s">
        <v>472</v>
      </c>
      <c r="C29" s="121">
        <f>IF(C8="Option 1 (Default)","NA",IF(C20="Measure",0.05,IF(C20="Default",0.1)))</f>
        <v>0.1</v>
      </c>
      <c r="D29" t="str">
        <f>IF(C8="Option 2 (Estimated)","Yes","NA")</f>
        <v>Yes</v>
      </c>
      <c r="E29" t="s">
        <v>200</v>
      </c>
      <c r="G29" t="s">
        <v>16</v>
      </c>
    </row>
    <row r="30" spans="2:7">
      <c r="B30" t="s">
        <v>473</v>
      </c>
      <c r="C30" s="121">
        <f>IF(C8="Option 1 (Default)","NA",IF(OR(C12="Yes",C13="Yes"),0.05,0.15))</f>
        <v>0.05</v>
      </c>
      <c r="D30" t="str">
        <f>IF(C8="Option 2 (Estimated)","Yes","NA")</f>
        <v>Yes</v>
      </c>
      <c r="E30" t="s">
        <v>200</v>
      </c>
      <c r="G30" t="s">
        <v>16</v>
      </c>
    </row>
    <row r="31" spans="2:7">
      <c r="B31" t="s">
        <v>474</v>
      </c>
      <c r="C31" s="121">
        <f>IF(C8="Option 1 (Default)","NA",IF(C12="Yes",0,0.05))</f>
        <v>0.05</v>
      </c>
      <c r="D31" t="str">
        <f>IF(C8="Option 2 (Estimated)","Yes","NA")</f>
        <v>Yes</v>
      </c>
      <c r="E31" t="s">
        <v>200</v>
      </c>
      <c r="G31" t="s">
        <v>16</v>
      </c>
    </row>
    <row r="32" spans="2:7">
      <c r="B32" t="s">
        <v>475</v>
      </c>
      <c r="C32" s="121">
        <f>IF(C8="Option 1 (Default)","NA",IF(C14="Managed",0,IF(C14="Unmanaged",0.5)))</f>
        <v>0</v>
      </c>
      <c r="D32" t="str">
        <f>IF(C8="Option 2 (Estimated)","Yes","NA")</f>
        <v>Yes</v>
      </c>
      <c r="E32" t="s">
        <v>200</v>
      </c>
      <c r="G32" t="s">
        <v>16</v>
      </c>
    </row>
    <row r="33" spans="1:7" ht="17.25">
      <c r="B33" t="s">
        <v>476</v>
      </c>
      <c r="C33" s="121">
        <f>IF(C8="Option 1 (Default)","NA",IF(AND(C4="Application B",C15="Yes",C84&gt;0.2),0.05,IF(AND(C4="Application A",C16="Yes"),0.05,0.2)))</f>
        <v>0.2</v>
      </c>
      <c r="D33" t="str">
        <f>IF(C8="Option 2 (Estimated)","Yes","NA")</f>
        <v>Yes</v>
      </c>
      <c r="E33" t="s">
        <v>200</v>
      </c>
      <c r="G33" t="s">
        <v>16</v>
      </c>
    </row>
    <row r="34" spans="1:7">
      <c r="A34" t="s">
        <v>477</v>
      </c>
      <c r="B34" t="s">
        <v>478</v>
      </c>
      <c r="C34" s="22">
        <f>IF(C8="Option 1 (Default)","NA",SQRT(C28^2+C29^2+C30^2+C31^2+C32^2+C33^2))</f>
        <v>0.25495097567963926</v>
      </c>
      <c r="D34" t="str">
        <f>IF(C8="Option 2 (Estimated)","Yes","NA")</f>
        <v>Yes</v>
      </c>
      <c r="E34" t="s">
        <v>200</v>
      </c>
      <c r="G34" t="s">
        <v>16</v>
      </c>
    </row>
    <row r="35" spans="1:7">
      <c r="A35" t="s">
        <v>479</v>
      </c>
      <c r="B35" t="s">
        <v>480</v>
      </c>
      <c r="C35" s="22">
        <f>IF(C8="Option 1 (Default)","NA",1/(1+C34))</f>
        <v>0.79684387627846065</v>
      </c>
      <c r="D35" t="str">
        <f>IF(C8="Option 2 (Estimated)","Yes","NA")</f>
        <v>Yes</v>
      </c>
      <c r="E35" t="s">
        <v>200</v>
      </c>
      <c r="G35" t="s">
        <v>16</v>
      </c>
    </row>
    <row r="36" spans="1:7" s="21" customFormat="1">
      <c r="B36" s="21" t="s">
        <v>481</v>
      </c>
    </row>
    <row r="37" spans="1:7">
      <c r="B37" s="90" t="s">
        <v>482</v>
      </c>
    </row>
    <row r="38" spans="1:7">
      <c r="A38" t="s">
        <v>483</v>
      </c>
      <c r="B38" t="s">
        <v>484</v>
      </c>
      <c r="C38">
        <v>100</v>
      </c>
      <c r="D38" t="str">
        <f>IF(C4="Application A","Yes","NA")</f>
        <v>NA</v>
      </c>
      <c r="E38" t="s">
        <v>91</v>
      </c>
      <c r="G38" t="s">
        <v>16</v>
      </c>
    </row>
    <row r="39" spans="1:7">
      <c r="B39" s="90" t="s">
        <v>437</v>
      </c>
    </row>
    <row r="40" spans="1:7">
      <c r="A40" t="s">
        <v>485</v>
      </c>
      <c r="B40" s="1" t="s">
        <v>486</v>
      </c>
      <c r="C40">
        <v>0.16</v>
      </c>
      <c r="D40" t="str">
        <f>IF(AND(C4="Application B",C23="No"),"Yes","NA")</f>
        <v>Yes</v>
      </c>
      <c r="E40" t="s">
        <v>91</v>
      </c>
      <c r="G40" t="s">
        <v>14</v>
      </c>
    </row>
    <row r="41" spans="1:7">
      <c r="B41" s="122" t="s">
        <v>487</v>
      </c>
    </row>
    <row r="42" spans="1:7">
      <c r="A42" t="s">
        <v>488</v>
      </c>
      <c r="B42" s="1" t="s">
        <v>489</v>
      </c>
      <c r="C42">
        <v>1</v>
      </c>
      <c r="D42" t="str">
        <f>IF(AND(C4="Application B",C23="No"),"Yes","NA")</f>
        <v>Yes</v>
      </c>
      <c r="E42" t="s">
        <v>91</v>
      </c>
      <c r="G42" t="s">
        <v>16</v>
      </c>
    </row>
    <row r="43" spans="1:7">
      <c r="A43" t="s">
        <v>490</v>
      </c>
      <c r="B43" t="s">
        <v>491</v>
      </c>
      <c r="C43">
        <v>12975</v>
      </c>
      <c r="D43" t="str">
        <f>IF(C4="Application B","Yes","NA")</f>
        <v>Yes</v>
      </c>
      <c r="E43" t="s">
        <v>91</v>
      </c>
      <c r="G43" t="s">
        <v>16</v>
      </c>
    </row>
    <row r="44" spans="1:7">
      <c r="A44" t="s">
        <v>492</v>
      </c>
      <c r="B44" t="s">
        <v>493</v>
      </c>
      <c r="C44" s="22">
        <f>IF(C4="Application A","NA",C40/C42)</f>
        <v>0.16</v>
      </c>
      <c r="D44" t="str">
        <f>IF(AND(C4="Application B",C23="No"),"Yes","NA")</f>
        <v>Yes</v>
      </c>
      <c r="E44" t="s">
        <v>200</v>
      </c>
      <c r="G44" t="s">
        <v>16</v>
      </c>
    </row>
    <row r="45" spans="1:7">
      <c r="A45" t="s">
        <v>494</v>
      </c>
      <c r="B45" t="s">
        <v>495</v>
      </c>
      <c r="C45" s="22">
        <f>IF(C4="Application A","NA",C43*C44)</f>
        <v>2076</v>
      </c>
      <c r="D45" t="str">
        <f>IF(AND(C4="Application B",C23="No"),"Yes","NA")</f>
        <v>Yes</v>
      </c>
      <c r="E45" t="s">
        <v>200</v>
      </c>
      <c r="G45" t="s">
        <v>16</v>
      </c>
    </row>
    <row r="46" spans="1:7" s="21" customFormat="1">
      <c r="B46" s="21" t="s">
        <v>496</v>
      </c>
    </row>
    <row r="47" spans="1:7">
      <c r="B47" s="90" t="s">
        <v>457</v>
      </c>
    </row>
    <row r="48" spans="1:7">
      <c r="A48" t="s">
        <v>497</v>
      </c>
      <c r="B48" t="s">
        <v>498</v>
      </c>
      <c r="C48" s="22">
        <f>IF(AND(C4="Application B",C6="Yes",C17="Default"),0.05,IF((C4="Application A"),0.05,"NA"))</f>
        <v>0.05</v>
      </c>
      <c r="D48" t="str">
        <f>IF(AND(C4="Application B",C6="Yes",C17="Default"),"Yes",IF((C4="Application A"),"Yes","NA"))</f>
        <v>Yes</v>
      </c>
      <c r="E48" t="s">
        <v>200</v>
      </c>
      <c r="G48" t="s">
        <v>16</v>
      </c>
    </row>
    <row r="49" spans="1:9">
      <c r="B49" s="90" t="s">
        <v>499</v>
      </c>
    </row>
    <row r="50" spans="1:9">
      <c r="A50" t="s">
        <v>500</v>
      </c>
      <c r="B50" s="41" t="s">
        <v>501</v>
      </c>
      <c r="C50">
        <v>11</v>
      </c>
      <c r="D50" t="str">
        <f>IF(AND(C4="Application B",C6="yes",C17="Measure"),"Yes","NA")</f>
        <v>NA</v>
      </c>
      <c r="E50" t="s">
        <v>91</v>
      </c>
      <c r="G50" t="s">
        <v>16</v>
      </c>
    </row>
    <row r="51" spans="1:9">
      <c r="A51" t="s">
        <v>502</v>
      </c>
      <c r="B51" t="s">
        <v>503</v>
      </c>
      <c r="C51">
        <v>0.33</v>
      </c>
      <c r="D51" t="str">
        <f>IF(AND(C4="Application B",C6="yes",C17="Measure"),"Yes","NA")</f>
        <v>NA</v>
      </c>
      <c r="E51" t="s">
        <v>91</v>
      </c>
      <c r="G51" t="s">
        <v>16</v>
      </c>
    </row>
    <row r="52" spans="1:9">
      <c r="A52" t="s">
        <v>504</v>
      </c>
      <c r="B52" t="s">
        <v>505</v>
      </c>
      <c r="C52">
        <v>0.22</v>
      </c>
      <c r="D52" t="str">
        <f>IF(AND(C4="Application B",C6="yes",C17="Measure"),"Yes","NA")</f>
        <v>NA</v>
      </c>
      <c r="E52" t="s">
        <v>91</v>
      </c>
      <c r="G52" t="s">
        <v>16</v>
      </c>
    </row>
    <row r="53" spans="1:9">
      <c r="A53" t="s">
        <v>506</v>
      </c>
      <c r="B53" t="s">
        <v>507</v>
      </c>
      <c r="C53">
        <v>0.24</v>
      </c>
      <c r="D53" t="str">
        <f>IF(AND(C4="Application B",C6="yes",C17="Measure"),"Yes","NA")</f>
        <v>NA</v>
      </c>
      <c r="E53" t="s">
        <v>91</v>
      </c>
      <c r="G53" t="s">
        <v>16</v>
      </c>
    </row>
    <row r="54" spans="1:9">
      <c r="A54" t="s">
        <v>508</v>
      </c>
      <c r="B54" t="s">
        <v>498</v>
      </c>
      <c r="C54" s="22" t="str">
        <f>IF(AND(C4="Application B",C6="Yes",C17="Measure"),0.7*(12/16)*C50/C51*(C52*C53),"NA")</f>
        <v>NA</v>
      </c>
      <c r="D54" t="str">
        <f>IF(AND(C4="Application B",C6="yes",C17="Measure"),"Yes","NA")</f>
        <v>NA</v>
      </c>
      <c r="E54" t="s">
        <v>200</v>
      </c>
      <c r="G54" t="s">
        <v>16</v>
      </c>
    </row>
    <row r="55" spans="1:9">
      <c r="B55" s="90" t="s">
        <v>509</v>
      </c>
    </row>
    <row r="56" spans="1:9">
      <c r="A56" t="s">
        <v>510</v>
      </c>
      <c r="B56" s="120" t="s">
        <v>511</v>
      </c>
      <c r="C56">
        <v>11</v>
      </c>
      <c r="D56" t="str">
        <f>IF(AND(C4="Application B",C7="yes"),"Yes","NA")</f>
        <v>NA</v>
      </c>
      <c r="E56" t="s">
        <v>91</v>
      </c>
      <c r="G56" t="s">
        <v>16</v>
      </c>
    </row>
    <row r="57" spans="1:9">
      <c r="A57" t="s">
        <v>502</v>
      </c>
      <c r="B57" t="s">
        <v>503</v>
      </c>
      <c r="C57">
        <v>0.31</v>
      </c>
      <c r="D57" t="str">
        <f>IF(AND(C4="Application B",C7="yes"),"Yes","NA")</f>
        <v>NA</v>
      </c>
      <c r="E57" t="s">
        <v>91</v>
      </c>
      <c r="G57" t="s">
        <v>16</v>
      </c>
      <c r="I57" s="41"/>
    </row>
    <row r="58" spans="1:9">
      <c r="A58" t="s">
        <v>506</v>
      </c>
      <c r="B58" t="s">
        <v>507</v>
      </c>
      <c r="C58">
        <v>0.19</v>
      </c>
      <c r="D58" t="str">
        <f>IF(AND(C4="Application B",C7="yes"),"Yes","NA")</f>
        <v>NA</v>
      </c>
      <c r="E58" t="s">
        <v>91</v>
      </c>
      <c r="G58" t="s">
        <v>16</v>
      </c>
    </row>
    <row r="59" spans="1:9">
      <c r="A59" t="s">
        <v>508</v>
      </c>
      <c r="B59" s="41" t="s">
        <v>498</v>
      </c>
      <c r="C59" s="22" t="str">
        <f>IF(AND(C4="Application B",C7="Yes"),0.7*(12/16)*C56/(C57*C58),"NA")</f>
        <v>NA</v>
      </c>
      <c r="D59" t="str">
        <f>IF(AND(C4="Application B",C7="yes"),"Yes","NA")</f>
        <v>NA</v>
      </c>
      <c r="E59" t="s">
        <v>200</v>
      </c>
      <c r="G59" t="s">
        <v>16</v>
      </c>
    </row>
    <row r="60" spans="1:9" s="21" customFormat="1">
      <c r="B60" s="21" t="s">
        <v>512</v>
      </c>
    </row>
    <row r="61" spans="1:9">
      <c r="B61" s="90" t="s">
        <v>457</v>
      </c>
    </row>
    <row r="62" spans="1:9">
      <c r="A62" t="s">
        <v>513</v>
      </c>
      <c r="B62" t="s">
        <v>514</v>
      </c>
      <c r="C62" s="22">
        <f>IF(AND(C4="Application B",C18="Yes"),"NA",IF(C19="Anaerobic managed solid waste disposal sites",1, IF(C19="Semi-aerobic managed solid waste disposal sites",0.5,IF(C19="Unmanaged solid waste disposal sites – deep",0.8,IF(C19="Unmanaged-shallow solid waste disposal sites or stockpiles that are considered SWDS",0.4)))))</f>
        <v>1</v>
      </c>
      <c r="D62" t="str">
        <f>IF(AND(C4="Application B",C18="Yes"),"NA","Yes")</f>
        <v>Yes</v>
      </c>
      <c r="E62" t="s">
        <v>200</v>
      </c>
      <c r="G62" t="s">
        <v>16</v>
      </c>
    </row>
    <row r="63" spans="1:9">
      <c r="B63" s="90" t="s">
        <v>515</v>
      </c>
    </row>
    <row r="64" spans="1:9">
      <c r="A64" t="s">
        <v>516</v>
      </c>
      <c r="B64" t="s">
        <v>517</v>
      </c>
      <c r="C64">
        <v>22</v>
      </c>
      <c r="D64" t="str">
        <f>IF(AND(C4="Application B",C18="Yes"),"Yes","NA")</f>
        <v>NA</v>
      </c>
      <c r="E64" t="s">
        <v>91</v>
      </c>
      <c r="G64" t="s">
        <v>16</v>
      </c>
    </row>
    <row r="65" spans="1:7">
      <c r="A65" t="s">
        <v>518</v>
      </c>
      <c r="B65" t="s">
        <v>519</v>
      </c>
      <c r="C65">
        <v>102</v>
      </c>
      <c r="D65" t="str">
        <f>IF(AND(C4="Application B",C18="Yes"),"Yes","NA")</f>
        <v>NA</v>
      </c>
      <c r="E65" t="s">
        <v>91</v>
      </c>
      <c r="G65" t="s">
        <v>16</v>
      </c>
    </row>
    <row r="66" spans="1:7">
      <c r="A66" t="s">
        <v>520</v>
      </c>
      <c r="B66" t="s">
        <v>514</v>
      </c>
      <c r="C66" s="22" t="str">
        <f>IF(AND(C4="Application B",C18="yes"),MAX((1-2/C65),C64/C65), "NA")</f>
        <v>NA</v>
      </c>
      <c r="D66" t="str">
        <f>IF(AND(C4="Application B",C18="Yes"),"Yes","NA")</f>
        <v>NA</v>
      </c>
      <c r="E66" t="s">
        <v>200</v>
      </c>
      <c r="G66" t="s">
        <v>16</v>
      </c>
    </row>
    <row r="67" spans="1:7" s="21" customFormat="1">
      <c r="B67" s="21" t="s">
        <v>521</v>
      </c>
    </row>
    <row r="68" spans="1:7">
      <c r="B68" s="90" t="s">
        <v>457</v>
      </c>
    </row>
    <row r="69" spans="1:7">
      <c r="A69" t="s">
        <v>522</v>
      </c>
      <c r="B69" t="s">
        <v>507</v>
      </c>
      <c r="C69" s="121">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0.2</v>
      </c>
      <c r="D69" t="str">
        <f>IF(AND(C4="Application B",C20="Measure"),"NA","Yes")</f>
        <v>Yes</v>
      </c>
      <c r="E69" t="s">
        <v>200</v>
      </c>
      <c r="G69" t="s">
        <v>16</v>
      </c>
    </row>
    <row r="70" spans="1:7">
      <c r="B70" s="90" t="s">
        <v>523</v>
      </c>
    </row>
    <row r="71" spans="1:7">
      <c r="A71" t="s">
        <v>524</v>
      </c>
      <c r="B71" t="s">
        <v>507</v>
      </c>
      <c r="C71">
        <v>0.17</v>
      </c>
      <c r="D71" t="str">
        <f>IF(AND(C4="Application B",C20="Measure"),"Yes","NA")</f>
        <v>NA</v>
      </c>
      <c r="E71" t="s">
        <v>91</v>
      </c>
      <c r="G71" t="s">
        <v>16</v>
      </c>
    </row>
    <row r="72" spans="1:7" s="21" customFormat="1" ht="18.75">
      <c r="B72" s="89" t="s">
        <v>525</v>
      </c>
    </row>
    <row r="73" spans="1:7" ht="30">
      <c r="A73" t="s">
        <v>526</v>
      </c>
      <c r="B73" s="1" t="s">
        <v>527</v>
      </c>
      <c r="C73">
        <v>5</v>
      </c>
      <c r="D73" t="s">
        <v>14</v>
      </c>
      <c r="E73" t="s">
        <v>91</v>
      </c>
      <c r="G73" t="s">
        <v>16</v>
      </c>
    </row>
    <row r="74" spans="1:7">
      <c r="A74" t="s">
        <v>528</v>
      </c>
      <c r="B74" t="s">
        <v>529</v>
      </c>
      <c r="C74">
        <v>3</v>
      </c>
      <c r="D74" t="s">
        <v>14</v>
      </c>
      <c r="E74" t="s">
        <v>91</v>
      </c>
      <c r="G74" t="s">
        <v>16</v>
      </c>
    </row>
    <row r="75" spans="1:7">
      <c r="A75" t="s">
        <v>508</v>
      </c>
      <c r="B75" t="s">
        <v>498</v>
      </c>
      <c r="C75" s="22">
        <f>IF(C4="Application A",C48,IF(AND(C4="Application B",C6="Yes",C17="Default"),C48,IF(AND(C4="Application B",C6="Yes",C17="Measure"),C54, IF(AND(C4="Application B",C7="Yes",C17="Measure"),C59))))</f>
        <v>0.05</v>
      </c>
      <c r="D75" t="s">
        <v>14</v>
      </c>
      <c r="E75" t="s">
        <v>200</v>
      </c>
      <c r="G75" t="s">
        <v>16</v>
      </c>
    </row>
    <row r="76" spans="1:7">
      <c r="A76" t="s">
        <v>530</v>
      </c>
      <c r="B76" t="s">
        <v>495</v>
      </c>
      <c r="C76" s="22">
        <f>IF(C4="Application A",C38,IF(AND(C4="Application B",C23="No"),C45,IF(AND(C4="Application B",C23="Yes"),C43)))</f>
        <v>2076</v>
      </c>
      <c r="D76" t="s">
        <v>14</v>
      </c>
      <c r="E76" t="s">
        <v>200</v>
      </c>
      <c r="G76" t="s">
        <v>16</v>
      </c>
    </row>
    <row r="77" spans="1:7">
      <c r="A77" t="s">
        <v>479</v>
      </c>
      <c r="B77" t="s">
        <v>480</v>
      </c>
      <c r="C77" s="22">
        <f>IF(C8="Option 1 (Default)",C26,C35)</f>
        <v>0.79684387627846065</v>
      </c>
      <c r="D77" t="s">
        <v>14</v>
      </c>
      <c r="E77" t="s">
        <v>200</v>
      </c>
      <c r="G77" t="s">
        <v>16</v>
      </c>
    </row>
    <row r="78" spans="1:7" ht="15.75" thickBot="1">
      <c r="A78" t="s">
        <v>531</v>
      </c>
      <c r="B78" t="s">
        <v>532</v>
      </c>
      <c r="C78">
        <v>0.44</v>
      </c>
      <c r="D78" t="s">
        <v>14</v>
      </c>
      <c r="E78" t="s">
        <v>91</v>
      </c>
      <c r="G78" t="s">
        <v>16</v>
      </c>
    </row>
    <row r="79" spans="1:7" ht="15.75" thickBot="1">
      <c r="A79" t="s">
        <v>533</v>
      </c>
      <c r="B79" t="s">
        <v>534</v>
      </c>
      <c r="C79" s="77">
        <v>28</v>
      </c>
      <c r="D79" t="s">
        <v>14</v>
      </c>
      <c r="E79" t="s">
        <v>535</v>
      </c>
      <c r="G79" t="s">
        <v>16</v>
      </c>
    </row>
    <row r="80" spans="1:7" ht="15.75" thickBot="1">
      <c r="A80" t="s">
        <v>536</v>
      </c>
      <c r="B80" t="s">
        <v>537</v>
      </c>
      <c r="C80" s="77">
        <v>0.1</v>
      </c>
      <c r="D80" t="s">
        <v>14</v>
      </c>
      <c r="E80" t="s">
        <v>535</v>
      </c>
      <c r="G80" t="s">
        <v>16</v>
      </c>
    </row>
    <row r="81" spans="1:7" ht="15.75" thickBot="1">
      <c r="A81" t="s">
        <v>502</v>
      </c>
      <c r="B81" t="s">
        <v>503</v>
      </c>
      <c r="C81" s="77">
        <v>0.5</v>
      </c>
      <c r="D81" t="s">
        <v>14</v>
      </c>
      <c r="E81" t="s">
        <v>535</v>
      </c>
      <c r="G81" t="s">
        <v>16</v>
      </c>
    </row>
    <row r="82" spans="1:7">
      <c r="A82" t="s">
        <v>538</v>
      </c>
      <c r="B82" t="s">
        <v>514</v>
      </c>
      <c r="C82" s="22">
        <f>IF(AND(C4="Application B",C18="Yes"),C66,C62)</f>
        <v>1</v>
      </c>
      <c r="D82" t="s">
        <v>14</v>
      </c>
      <c r="E82" t="s">
        <v>200</v>
      </c>
      <c r="G82" t="s">
        <v>16</v>
      </c>
    </row>
    <row r="83" spans="1:7">
      <c r="A83" t="s">
        <v>524</v>
      </c>
      <c r="B83" t="s">
        <v>507</v>
      </c>
      <c r="C83" s="121">
        <f>IF(C20="Default",C69,C71)</f>
        <v>0.2</v>
      </c>
      <c r="D83" t="s">
        <v>14</v>
      </c>
      <c r="E83" t="s">
        <v>200</v>
      </c>
      <c r="G83" t="s">
        <v>16</v>
      </c>
    </row>
    <row r="84" spans="1:7">
      <c r="A84" t="s">
        <v>539</v>
      </c>
      <c r="B84" t="s">
        <v>540</v>
      </c>
      <c r="C84" s="22">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0.17</v>
      </c>
      <c r="D84" t="s">
        <v>14</v>
      </c>
      <c r="E84" t="s">
        <v>200</v>
      </c>
      <c r="F84" t="s">
        <v>541</v>
      </c>
      <c r="G84" t="s">
        <v>16</v>
      </c>
    </row>
    <row r="85" spans="1:7">
      <c r="A85" t="s">
        <v>542</v>
      </c>
      <c r="B85" t="s">
        <v>543</v>
      </c>
      <c r="C85" s="22" t="str">
        <f>IF(C21="Other",C22,C21)</f>
        <v>Garden, yard and park waste</v>
      </c>
      <c r="D85" t="s">
        <v>14</v>
      </c>
      <c r="E85" t="s">
        <v>200</v>
      </c>
      <c r="G85" t="s">
        <v>16</v>
      </c>
    </row>
    <row r="86" spans="1:7">
      <c r="A86" t="s">
        <v>544</v>
      </c>
      <c r="B86" t="s">
        <v>545</v>
      </c>
      <c r="C86" s="22">
        <f>C77*(1-C78)*C79*(1-C80)*(16/12)*C81*C75*C82*(C76*C83*EXP(-C84*(C74-C73))*(1-EXP(-C84)))</f>
        <v>34.183359991239271</v>
      </c>
      <c r="D86" t="s">
        <v>14</v>
      </c>
      <c r="E86" t="s">
        <v>200</v>
      </c>
      <c r="G86" t="s">
        <v>16</v>
      </c>
    </row>
    <row r="87" spans="1:7">
      <c r="B87" s="123" t="s">
        <v>546</v>
      </c>
      <c r="F87" t="s">
        <v>547</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10BA1640-4AC2-496A-959C-390365C2CED6}">
          <x14:formula1>
            <xm:f>'Tool 4 Dropdown Items'!$A$2:$A$4</xm:f>
          </x14:formula1>
          <xm:sqref>C3</xm:sqref>
        </x14:dataValidation>
        <x14:dataValidation type="list" allowBlank="1" showInputMessage="1" showErrorMessage="1" xr:uid="{83B60FF9-6410-4AC9-AE90-BFA960ABB042}">
          <x14:formula1>
            <xm:f>'Tool 4 Dropdown Items'!$H$2:$H$3</xm:f>
          </x14:formula1>
          <xm:sqref>C10</xm:sqref>
        </x14:dataValidation>
        <x14:dataValidation type="list" allowBlank="1" showInputMessage="1" showErrorMessage="1" xr:uid="{65F2D689-7CF6-41FB-8480-92D160411A3B}">
          <x14:formula1>
            <xm:f>'Tool 4 Dropdown Items'!$I$2:$I$11</xm:f>
          </x14:formula1>
          <xm:sqref>C21</xm:sqref>
        </x14:dataValidation>
        <x14:dataValidation type="list" allowBlank="1" showInputMessage="1" showErrorMessage="1" xr:uid="{F495A130-9779-4736-9ED3-836B190472AD}">
          <x14:formula1>
            <xm:f>'Tool 4 Dropdown Items'!$F$2:$F$3</xm:f>
          </x14:formula1>
          <xm:sqref>C20</xm:sqref>
        </x14:dataValidation>
        <x14:dataValidation type="list" allowBlank="1" showInputMessage="1" showErrorMessage="1" xr:uid="{1EB5B33C-2F9B-4E3E-8D9B-8803685DE742}">
          <x14:formula1>
            <xm:f>'Tool 4 Dropdown Items'!$M$2:$M$5</xm:f>
          </x14:formula1>
          <xm:sqref>C19</xm:sqref>
        </x14:dataValidation>
        <x14:dataValidation type="list" allowBlank="1" showInputMessage="1" showErrorMessage="1" xr:uid="{8C99C151-A53E-486F-A7F3-5F023DDC01B3}">
          <x14:formula1>
            <xm:f>'Tool 4 Dropdown Items'!$L$2:$L$3</xm:f>
          </x14:formula1>
          <xm:sqref>C14</xm:sqref>
        </x14:dataValidation>
        <x14:dataValidation type="list" allowBlank="1" showInputMessage="1" showErrorMessage="1" xr:uid="{A60C8292-75F5-47F1-ABAF-5CF892424D9F}">
          <x14:formula1>
            <xm:f>'Tool 4 Dropdown Items'!$K$2:$K$3</xm:f>
          </x14:formula1>
          <xm:sqref>C23 C17</xm:sqref>
        </x14:dataValidation>
        <x14:dataValidation type="list" allowBlank="1" showInputMessage="1" showErrorMessage="1" xr:uid="{B325C7A1-E3CB-4CD4-8E19-FA663E9BD819}">
          <x14:formula1>
            <xm:f>'Tool 4 Dropdown Items'!$J$2:$J$3</xm:f>
          </x14:formula1>
          <xm:sqref>C11</xm:sqref>
        </x14:dataValidation>
        <x14:dataValidation type="list" allowBlank="1" showInputMessage="1" showErrorMessage="1" xr:uid="{5D052C80-6ED9-49D1-946D-890983C8D1A6}">
          <x14:formula1>
            <xm:f>'Tool 4 Dropdown Items'!$G$2:$G$3</xm:f>
          </x14:formula1>
          <xm:sqref>C9</xm:sqref>
        </x14:dataValidation>
        <x14:dataValidation type="list" allowBlank="1" showInputMessage="1" showErrorMessage="1" xr:uid="{36E3D0AF-A7CB-496C-92D8-7AB00F97C604}">
          <x14:formula1>
            <xm:f>'Tool 4 Dropdown Items'!$E$2:$E$3</xm:f>
          </x14:formula1>
          <xm:sqref>C8</xm:sqref>
        </x14:dataValidation>
        <x14:dataValidation type="list" allowBlank="1" showInputMessage="1" showErrorMessage="1" xr:uid="{43422880-39C3-486C-BD2F-BF8D1B82CA81}">
          <x14:formula1>
            <xm:f>'Tool 4 Dropdown Items'!$D$2:$D$3</xm:f>
          </x14:formula1>
          <xm:sqref>C12:C13 C23 C15:C16 C5:C7 C18</xm:sqref>
        </x14:dataValidation>
        <x14:dataValidation type="list" allowBlank="1" showInputMessage="1" showErrorMessage="1" xr:uid="{1146557D-370D-4F6E-824D-71A90D6F565D}">
          <x14:formula1>
            <xm:f>'Tool 4 Dropdown Items'!$B$2:$B$3</xm:f>
          </x14:formula1>
          <xm:sqref>C4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1BC97-FA7E-47CC-BA4E-EEAB22094A2B}">
  <dimension ref="A1:D8"/>
  <sheetViews>
    <sheetView workbookViewId="0">
      <selection activeCell="G38" sqref="G38"/>
    </sheetView>
  </sheetViews>
  <sheetFormatPr defaultRowHeight="15"/>
  <cols>
    <col min="1" max="1" width="14.5703125" style="2" customWidth="1"/>
    <col min="2" max="2" width="26.5703125" customWidth="1"/>
    <col min="3" max="3" width="23.7109375" customWidth="1"/>
    <col min="4" max="4" width="25.140625" customWidth="1"/>
  </cols>
  <sheetData>
    <row r="1" spans="1:4" s="2" customFormat="1">
      <c r="B1" s="2" t="s">
        <v>548</v>
      </c>
      <c r="C1" s="2" t="s">
        <v>434</v>
      </c>
      <c r="D1" s="2" t="s">
        <v>549</v>
      </c>
    </row>
    <row r="2" spans="1:4">
      <c r="A2" s="2" t="s">
        <v>550</v>
      </c>
      <c r="B2" t="b">
        <f>IF('Tool 04-SWDS-Yearly'!C3="Baseline Emissions (BE)",'Tool 04-SWDS-Yearly'!C86)</f>
        <v>0</v>
      </c>
      <c r="C2">
        <f>IF('Tool 04-SWDS-Yearly'!C3="Project Emissions (PE)",'Tool 04-SWDS-Yearly'!C86)</f>
        <v>34.183359991239271</v>
      </c>
      <c r="D2" t="b">
        <f>IF('Tool 04-SWDS-Yearly'!C3="Leakage Emissions (LE)",'Tool 04-SWDS-Yearly'!C86)</f>
        <v>0</v>
      </c>
    </row>
    <row r="3" spans="1:4">
      <c r="A3" s="124" t="s">
        <v>550</v>
      </c>
      <c r="B3" s="87"/>
      <c r="C3" s="87"/>
      <c r="D3" s="87"/>
    </row>
    <row r="4" spans="1:4">
      <c r="A4" s="124" t="s">
        <v>550</v>
      </c>
      <c r="B4" s="87"/>
      <c r="C4" s="87"/>
      <c r="D4" s="87"/>
    </row>
    <row r="5" spans="1:4">
      <c r="A5" s="124" t="s">
        <v>550</v>
      </c>
      <c r="B5" s="87"/>
      <c r="C5" s="87"/>
      <c r="D5" s="87"/>
    </row>
    <row r="6" spans="1:4">
      <c r="A6" s="124" t="s">
        <v>550</v>
      </c>
      <c r="B6" s="87"/>
      <c r="C6" s="87"/>
      <c r="D6" s="87"/>
    </row>
    <row r="7" spans="1:4">
      <c r="A7" s="124" t="s">
        <v>550</v>
      </c>
      <c r="B7" s="87"/>
      <c r="C7" s="87"/>
      <c r="D7" s="87"/>
    </row>
    <row r="8" spans="1:4" s="2" customFormat="1">
      <c r="A8" s="2" t="s">
        <v>551</v>
      </c>
      <c r="B8" s="2">
        <f>SUM(B2:B7)</f>
        <v>0</v>
      </c>
      <c r="C8" s="2">
        <f t="shared" ref="C8" si="0">SUM(C2:C7)</f>
        <v>34.183359991239271</v>
      </c>
      <c r="D8" s="2">
        <f>SUM(D2:D7)</f>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DB0B-5751-4829-86F1-061923825161}">
  <dimension ref="A1:M11"/>
  <sheetViews>
    <sheetView workbookViewId="0">
      <selection activeCell="B90" sqref="B90"/>
    </sheetView>
  </sheetViews>
  <sheetFormatPr defaultRowHeight="15"/>
  <cols>
    <col min="1" max="1" width="22.28515625" customWidth="1"/>
    <col min="2" max="2" width="27.28515625" customWidth="1"/>
    <col min="3" max="3" width="20.28515625" customWidth="1"/>
    <col min="4" max="4" width="19.5703125" customWidth="1"/>
    <col min="5" max="5" width="26.28515625" customWidth="1"/>
    <col min="6" max="6" width="29.5703125" customWidth="1"/>
    <col min="7" max="9" width="31.140625" customWidth="1"/>
    <col min="10" max="10" width="13.42578125" customWidth="1"/>
  </cols>
  <sheetData>
    <row r="1" spans="1:13">
      <c r="A1" s="2" t="s">
        <v>552</v>
      </c>
      <c r="B1" s="2" t="s">
        <v>553</v>
      </c>
      <c r="C1" s="2" t="s">
        <v>554</v>
      </c>
      <c r="D1" s="2" t="s">
        <v>555</v>
      </c>
      <c r="E1" s="2" t="s">
        <v>556</v>
      </c>
      <c r="F1" s="2" t="s">
        <v>557</v>
      </c>
      <c r="G1" s="2" t="s">
        <v>558</v>
      </c>
      <c r="H1" s="2" t="s">
        <v>559</v>
      </c>
      <c r="I1" s="2" t="s">
        <v>560</v>
      </c>
    </row>
    <row r="2" spans="1:13">
      <c r="A2" t="s">
        <v>548</v>
      </c>
      <c r="B2" t="s">
        <v>482</v>
      </c>
      <c r="C2" t="s">
        <v>561</v>
      </c>
      <c r="D2" t="s">
        <v>14</v>
      </c>
      <c r="E2" t="s">
        <v>562</v>
      </c>
      <c r="F2" t="s">
        <v>457</v>
      </c>
      <c r="G2" t="s">
        <v>445</v>
      </c>
      <c r="H2" t="s">
        <v>563</v>
      </c>
      <c r="I2" t="s">
        <v>564</v>
      </c>
      <c r="J2" t="s">
        <v>565</v>
      </c>
      <c r="K2" t="s">
        <v>566</v>
      </c>
      <c r="L2" t="s">
        <v>453</v>
      </c>
      <c r="M2" t="s">
        <v>460</v>
      </c>
    </row>
    <row r="3" spans="1:13" ht="30">
      <c r="A3" t="s">
        <v>434</v>
      </c>
      <c r="B3" t="s">
        <v>437</v>
      </c>
      <c r="C3" t="s">
        <v>567</v>
      </c>
      <c r="D3" t="s">
        <v>16</v>
      </c>
      <c r="E3" t="s">
        <v>443</v>
      </c>
      <c r="F3" t="s">
        <v>566</v>
      </c>
      <c r="G3" t="s">
        <v>568</v>
      </c>
      <c r="H3" t="s">
        <v>447</v>
      </c>
      <c r="I3" s="1" t="s">
        <v>569</v>
      </c>
      <c r="J3" t="s">
        <v>449</v>
      </c>
      <c r="K3" t="s">
        <v>457</v>
      </c>
      <c r="L3" t="s">
        <v>570</v>
      </c>
      <c r="M3" t="s">
        <v>571</v>
      </c>
    </row>
    <row r="4" spans="1:13">
      <c r="A4" t="s">
        <v>549</v>
      </c>
      <c r="I4" t="s">
        <v>572</v>
      </c>
      <c r="M4" t="s">
        <v>573</v>
      </c>
    </row>
    <row r="5" spans="1:13">
      <c r="I5" t="s">
        <v>574</v>
      </c>
      <c r="M5" t="s">
        <v>575</v>
      </c>
    </row>
    <row r="6" spans="1:13">
      <c r="I6" t="s">
        <v>464</v>
      </c>
    </row>
    <row r="7" spans="1:13">
      <c r="I7" t="s">
        <v>576</v>
      </c>
    </row>
    <row r="8" spans="1:13">
      <c r="I8" t="s">
        <v>577</v>
      </c>
    </row>
    <row r="9" spans="1:13">
      <c r="I9" t="s">
        <v>578</v>
      </c>
    </row>
    <row r="10" spans="1:13">
      <c r="I10" t="s">
        <v>579</v>
      </c>
    </row>
    <row r="11" spans="1:13">
      <c r="I11" t="s">
        <v>580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26c93be6-ded6-4d1f-a6ce-8bd951baf51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539EBD91A5364380B721318EC5B58D" ma:contentTypeVersion="19" ma:contentTypeDescription="Create a new document." ma:contentTypeScope="" ma:versionID="6174984cebe909d95605b7b931410e14">
  <xsd:schema xmlns:xsd="http://www.w3.org/2001/XMLSchema" xmlns:xs="http://www.w3.org/2001/XMLSchema" xmlns:p="http://schemas.microsoft.com/office/2006/metadata/properties" xmlns:ns1="http://schemas.microsoft.com/sharepoint/v3" xmlns:ns3="6477070e-b6bf-48e5-87af-fd27a98cf16b" xmlns:ns4="26c93be6-ded6-4d1f-a6ce-8bd951baf513" targetNamespace="http://schemas.microsoft.com/office/2006/metadata/properties" ma:root="true" ma:fieldsID="c525bc3ad16f23148fa0a74f69739fcb" ns1:_="" ns3:_="" ns4:_="">
    <xsd:import namespace="http://schemas.microsoft.com/sharepoint/v3"/>
    <xsd:import namespace="6477070e-b6bf-48e5-87af-fd27a98cf16b"/>
    <xsd:import namespace="26c93be6-ded6-4d1f-a6ce-8bd951baf51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element ref="ns4:MediaLengthInSeconds" minOccurs="0"/>
                <xsd:element ref="ns4:_activity"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77070e-b6bf-48e5-87af-fd27a98cf16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c93be6-ded6-4d1f-a6ce-8bd951baf51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_activity" ma:index="24" nillable="true" ma:displayName="_activity" ma:hidden="true" ma:internalName="_activity">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ystemTags" ma:index="26"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E218B7-3B53-490B-99FA-385218C650B2}"/>
</file>

<file path=customXml/itemProps2.xml><?xml version="1.0" encoding="utf-8"?>
<ds:datastoreItem xmlns:ds="http://schemas.openxmlformats.org/officeDocument/2006/customXml" ds:itemID="{9978FFDF-42AF-46C2-BE39-AE574AAD9A86}"/>
</file>

<file path=customXml/itemProps3.xml><?xml version="1.0" encoding="utf-8"?>
<ds:datastoreItem xmlns:ds="http://schemas.openxmlformats.org/officeDocument/2006/customXml" ds:itemID="{40840409-1362-438A-A5BD-2061AEDC858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Pinnola</dc:creator>
  <cp:keywords/>
  <dc:description/>
  <cp:lastModifiedBy/>
  <cp:revision/>
  <dcterms:created xsi:type="dcterms:W3CDTF">2023-10-03T19:38:32Z</dcterms:created>
  <dcterms:modified xsi:type="dcterms:W3CDTF">2023-12-27T19:54:42Z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0x010100D8539EBD91A5364380B721318EC5B58D</vt:lpwstr>
  </property>
</Properties>
</file>