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f3e4387646bbb898/Desktop/Guardian/"/>
    </mc:Choice>
  </mc:AlternateContent>
  <xr:revisionPtr revIDLastSave="0" documentId="8_{41600A07-97E2-4C48-B937-67C9EB2CFB11}" xr6:coauthVersionLast="47" xr6:coauthVersionMax="47" xr10:uidLastSave="{00000000-0000-0000-0000-000000000000}"/>
  <bookViews>
    <workbookView xWindow="28680" yWindow="-120" windowWidth="29040" windowHeight="15840" xr2:uid="{2E0DC2C8-2D52-4657-9EDA-B486E5809E08}"/>
  </bookViews>
  <sheets>
    <sheet name="AMS-III.D" sheetId="1" r:id="rId1"/>
    <sheet name="Storage Device Registration" sheetId="14" r:id="rId2"/>
    <sheet name="Partial BE Based on LT 17a" sheetId="12" r:id="rId3"/>
    <sheet name="Partial BE Based on LT 17b" sheetId="13" r:id="rId4"/>
    <sheet name="PE Due to Leakage of Biogas 17a" sheetId="10" r:id="rId5"/>
    <sheet name="PE Due to Leakage of Biogas 17b" sheetId="11" r:id="rId6"/>
    <sheet name="Tool 03" sheetId="5" r:id="rId7"/>
    <sheet name="Tool 3 Add Fuel Type" sheetId="9" r:id="rId8"/>
    <sheet name="Tool 05" sheetId="2" r:id="rId9"/>
    <sheet name="Tool 05 Power Plants" sheetId="6" r:id="rId10"/>
    <sheet name="Tool 05 Avg Net Calorific Value" sheetId="8" r:id="rId11"/>
    <sheet name="Tool 05 Fuel Type Emission Fact" sheetId="7" r:id="rId12"/>
    <sheet name="Tool 06" sheetId="4" r:id="rId13"/>
    <sheet name="Tool 14"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2" i="10" l="1"/>
  <c r="F12" i="10"/>
  <c r="F27" i="14"/>
  <c r="F19" i="14" s="1"/>
  <c r="F5" i="14"/>
  <c r="F35" i="12"/>
  <c r="F14" i="12"/>
  <c r="F33" i="10"/>
  <c r="F13" i="10"/>
  <c r="F13" i="14"/>
  <c r="F26" i="12"/>
  <c r="F5" i="12"/>
  <c r="F29" i="1" s="1"/>
  <c r="F12" i="13"/>
  <c r="F5" i="13"/>
  <c r="F34" i="1" s="1"/>
  <c r="F34" i="12"/>
  <c r="F30" i="12"/>
  <c r="F13" i="12"/>
  <c r="F9" i="12"/>
  <c r="F12" i="11"/>
  <c r="F5" i="11"/>
  <c r="F47" i="1" s="1"/>
  <c r="F28" i="10"/>
  <c r="F25" i="10" s="1"/>
  <c r="F8" i="10"/>
  <c r="F5" i="10" s="1"/>
  <c r="F43" i="1" s="1"/>
  <c r="F89" i="1"/>
  <c r="F82" i="1"/>
  <c r="F57" i="1"/>
  <c r="F40" i="1" s="1"/>
  <c r="F38" i="1"/>
  <c r="F55" i="1"/>
  <c r="F66" i="1" l="1"/>
  <c r="F41" i="1" s="1"/>
  <c r="F17" i="3"/>
  <c r="F70" i="3"/>
  <c r="F82" i="3"/>
  <c r="F72" i="3"/>
  <c r="F63" i="3"/>
  <c r="F61" i="3"/>
  <c r="F3" i="5" a="1"/>
  <c r="F3" i="5" s="1"/>
  <c r="F15" i="3" s="1"/>
  <c r="F37" i="9"/>
  <c r="F33" i="9"/>
  <c r="F32" i="9"/>
  <c r="F28" i="9"/>
  <c r="F18" i="9" l="1"/>
  <c r="F14" i="9"/>
  <c r="F13" i="9"/>
  <c r="F9" i="9"/>
  <c r="F77" i="1"/>
  <c r="F71" i="1"/>
  <c r="F15" i="2"/>
  <c r="F14" i="2"/>
  <c r="F13" i="2"/>
  <c r="F39" i="2"/>
  <c r="F38" i="2"/>
  <c r="F54" i="3" l="1"/>
  <c r="F14" i="3" s="1"/>
  <c r="F39" i="1" s="1"/>
  <c r="F47" i="3"/>
  <c r="F33" i="2"/>
  <c r="F5" i="6"/>
  <c r="F21" i="6"/>
  <c r="F9" i="6"/>
  <c r="F20" i="6"/>
  <c r="F17" i="6" s="1"/>
  <c r="F8" i="6"/>
  <c r="F69" i="4"/>
  <c r="F52" i="4"/>
  <c r="F54" i="4"/>
  <c r="F62" i="4"/>
  <c r="F61" i="4" s="1"/>
  <c r="F60" i="4"/>
  <c r="F67" i="4"/>
  <c r="F66" i="4"/>
  <c r="F65" i="4"/>
  <c r="F64" i="4"/>
  <c r="F50" i="4"/>
  <c r="F44" i="4"/>
  <c r="F47" i="4"/>
  <c r="F48" i="4"/>
  <c r="F45" i="4"/>
  <c r="F79" i="1" l="1"/>
  <c r="F73" i="1"/>
  <c r="F36" i="1"/>
  <c r="F4" i="6"/>
  <c r="F16" i="6"/>
  <c r="F59" i="4"/>
  <c r="F58" i="4"/>
  <c r="F78" i="1" l="1"/>
  <c r="F76" i="1" s="1"/>
  <c r="F72" i="1"/>
  <c r="F70" i="1" s="1"/>
  <c r="F32" i="2"/>
  <c r="F57" i="4"/>
  <c r="F56" i="4" s="1"/>
  <c r="F79" i="3" l="1"/>
  <c r="F74" i="3"/>
  <c r="F67" i="3"/>
  <c r="F56" i="3"/>
  <c r="F49" i="3"/>
  <c r="F42" i="3"/>
  <c r="F33" i="3"/>
  <c r="F34" i="3"/>
  <c r="F26" i="3"/>
  <c r="F24" i="3" s="1"/>
  <c r="F23" i="3"/>
  <c r="F32" i="3"/>
  <c r="F35" i="3"/>
  <c r="F37" i="3" l="1"/>
  <c r="F29" i="3" s="1"/>
  <c r="F31" i="3"/>
  <c r="F19" i="3"/>
  <c r="F2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tc={CFC778ED-7BDE-461B-A56B-C7B86257DAEB}</author>
    <author>tc={308F7ADB-7057-4DF2-BD0E-84F8E2AD4BB6}</author>
    <author>tc={5B76F69B-3D7A-483D-AA38-216B6BFE7A4B}</author>
    <author>tc={C143401E-D150-4146-847E-BACEE162EB72}</author>
    <author>tc={0DED7565-3F18-4D20-B968-9EAB4DC3C303}</author>
    <author>tc={B7A52B58-3DE2-4D68-B058-A47D562E28AE}</author>
    <author>tc={861744AA-6451-453D-BF2F-BC1FD6CF4419}</author>
    <author>tc={447D40D5-845D-41EE-9585-B381AA0C27C3}</author>
    <author>tc={8E0253C1-338F-4DA6-B8EA-92FFE4AFD736}</author>
    <author>tc={66469856-2A16-4425-BB06-ED00B98322EA}</author>
    <author>tc={CE4F5722-2130-490F-B11B-83A7A91F3826}</author>
    <author>tc={5B47BF49-B2F2-4AA3-A6E5-FE4A708335FF}</author>
  </authors>
  <commentList>
    <comment ref="D29" authorId="0" shapeId="0" xr:uid="{CFC778ED-7BDE-461B-A56B-C7B86257DAEB}">
      <text>
        <t>[Threaded comment]
Your version of Excel allows you to read this threaded comment; however, any edits to it will get removed if the file is opened in a newer version of Excel. Learn more: https://go.microsoft.com/fwlink/?linkid=870924
Comment:
    Eq 1</t>
      </text>
    </comment>
    <comment ref="D34" authorId="1" shapeId="0" xr:uid="{308F7ADB-7057-4DF2-BD0E-84F8E2AD4BB6}">
      <text>
        <t>[Threaded comment]
Your version of Excel allows you to read this threaded comment; however, any edits to it will get removed if the file is opened in a newer version of Excel. Learn more: https://go.microsoft.com/fwlink/?linkid=870924
Comment:
    Eq 5</t>
      </text>
    </comment>
    <comment ref="D36" authorId="2" shapeId="0" xr:uid="{5B76F69B-3D7A-483D-AA38-216B6BFE7A4B}">
      <text>
        <t>[Threaded comment]
Your version of Excel allows you to read this threaded comment; however, any edits to it will get removed if the file is opened in a newer version of Excel. Learn more: https://go.microsoft.com/fwlink/?linkid=870924
Comment:
    Eq 6</t>
      </text>
    </comment>
    <comment ref="D43" authorId="3" shapeId="0" xr:uid="{C143401E-D150-4146-847E-BACEE162EB72}">
      <text>
        <t>[Threaded comment]
Your version of Excel allows you to read this threaded comment; however, any edits to it will get removed if the file is opened in a newer version of Excel. Learn more: https://go.microsoft.com/fwlink/?linkid=870924
Comment:
    Eq 7</t>
      </text>
    </comment>
    <comment ref="D47" authorId="4" shapeId="0" xr:uid="{0DED7565-3F18-4D20-B968-9EAB4DC3C303}">
      <text>
        <t>[Threaded comment]
Your version of Excel allows you to read this threaded comment; however, any edits to it will get removed if the file is opened in a newer version of Excel. Learn more: https://go.microsoft.com/fwlink/?linkid=870924
Comment:
    Eq 8</t>
      </text>
    </comment>
    <comment ref="D55" authorId="5" shapeId="0" xr:uid="{B7A52B58-3DE2-4D68-B058-A47D562E28AE}">
      <text>
        <t>[Threaded comment]
Your version of Excel allows you to read this threaded comment; however, any edits to it will get removed if the file is opened in a newer version of Excel. Learn more: https://go.microsoft.com/fwlink/?linkid=870924
Comment:
    Eq 8
Reply:
    Option b in paragraph 21. Use of tool 14 to calculate parameter PEPL</t>
      </text>
    </comment>
    <comment ref="D57" authorId="6" shapeId="0" xr:uid="{861744AA-6451-453D-BF2F-BC1FD6CF4419}">
      <text>
        <t>[Threaded comment]
Your version of Excel allows you to read this threaded comment; however, any edits to it will get removed if the file is opened in a newer version of Excel. Learn more: https://go.microsoft.com/fwlink/?linkid=870924
Comment:
    Eq 3 from AMS-III.AO</t>
      </text>
    </comment>
    <comment ref="D66" authorId="7" shapeId="0" xr:uid="{447D40D5-845D-41EE-9585-B381AA0C27C3}">
      <text>
        <t>[Threaded comment]
Your version of Excel allows you to read this threaded comment; however, any edits to it will get removed if the file is opened in a newer version of Excel. Learn more: https://go.microsoft.com/fwlink/?linkid=870924
Comment:
    Eq 9</t>
      </text>
    </comment>
    <comment ref="D70" authorId="8" shapeId="0" xr:uid="{8E0253C1-338F-4DA6-B8EA-92FFE4AFD736}">
      <text>
        <t>[Threaded comment]
Your version of Excel allows you to read this threaded comment; however, any edits to it will get removed if the file is opened in a newer version of Excel. Learn more: https://go.microsoft.com/fwlink/?linkid=870924
Comment:
    Eq 10</t>
      </text>
    </comment>
    <comment ref="D76" authorId="9" shapeId="0" xr:uid="{66469856-2A16-4425-BB06-ED00B98322EA}">
      <text>
        <t>[Threaded comment]
Your version of Excel allows you to read this threaded comment; however, any edits to it will get removed if the file is opened in a newer version of Excel. Learn more: https://go.microsoft.com/fwlink/?linkid=870924
Comment:
    Eq 10</t>
      </text>
    </comment>
    <comment ref="D82" authorId="10" shapeId="0" xr:uid="{CE4F5722-2130-490F-B11B-83A7A91F3826}">
      <text>
        <t>[Threaded comment]
Your version of Excel allows you to read this threaded comment; however, any edits to it will get removed if the file is opened in a newer version of Excel. Learn more: https://go.microsoft.com/fwlink/?linkid=870924
Comment:
    Eq 11</t>
      </text>
    </comment>
    <comment ref="D89" authorId="11" shapeId="0" xr:uid="{5B47BF49-B2F2-4AA3-A6E5-FE4A708335FF}">
      <text>
        <t>[Threaded comment]
Your version of Excel allows you to read this threaded comment; however, any edits to it will get removed if the file is opened in a newer version of Excel. Learn more: https://go.microsoft.com/fwlink/?linkid=870924
Comment:
    Eq 12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tc={4B790A2D-3756-401F-9FC0-6E0C61B6DB97}</author>
    <author>tc={F39D23E3-2A2D-4E5D-B766-EDC4E00C0FB9}</author>
  </authors>
  <commentList>
    <comment ref="D13" authorId="0" shapeId="0" xr:uid="{4B790A2D-3756-401F-9FC0-6E0C61B6DB97}">
      <text>
        <t>[Threaded comment]
Your version of Excel allows you to read this threaded comment; however, any edits to it will get removed if the file is opened in a newer version of Excel. Learn more: https://go.microsoft.com/fwlink/?linkid=870924
Comment:
    Eq 4</t>
      </text>
    </comment>
    <comment ref="D27" authorId="1" shapeId="0" xr:uid="{F39D23E3-2A2D-4E5D-B766-EDC4E00C0FB9}">
      <text>
        <t>[Threaded comment]
Your version of Excel allows you to read this threaded comment; however, any edits to it will get removed if the file is opened in a newer version of Excel. Learn more: https://go.microsoft.com/fwlink/?linkid=870924
Comment:
    Eq 4</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tc={13FD214F-8D66-47A0-BE09-7DA3DC274E2B}</author>
    <author>tc={1F096A44-44EC-42B1-8D7E-CA7428E9FA17}</author>
    <author>tc={796EA67B-7488-4FDE-8F09-AD2CFCC88023}</author>
    <author>tc={E52EC422-9769-402E-ADE5-77AD52F71035}</author>
    <author>tc={68B7EF61-A770-4CE3-A99C-E1A8B6821322}</author>
    <author>tc={ECDB7D98-DBDA-4454-93E6-DC4D6783951B}</author>
  </authors>
  <commentList>
    <comment ref="D9" authorId="0" shapeId="0" xr:uid="{13FD214F-8D66-47A0-BE09-7DA3DC274E2B}">
      <text>
        <t>[Threaded comment]
Your version of Excel allows you to read this threaded comment; however, any edits to it will get removed if the file is opened in a newer version of Excel. Learn more: https://go.microsoft.com/fwlink/?linkid=870924
Comment:
    Eq 4</t>
      </text>
    </comment>
    <comment ref="D13" authorId="1" shapeId="0" xr:uid="{1F096A44-44EC-42B1-8D7E-CA7428E9FA17}">
      <text>
        <t>[Threaded comment]
Your version of Excel allows you to read this threaded comment; however, any edits to it will get removed if the file is opened in a newer version of Excel. Learn more: https://go.microsoft.com/fwlink/?linkid=870924
Comment:
    Eq 2
Reply:
    Default option
Reply:
    PP should be able to choose if they want to use the default value (eq 2) or if they want to adjust the default value (eq 3)</t>
      </text>
    </comment>
    <comment ref="D14" authorId="2" shapeId="0" xr:uid="{796EA67B-7488-4FDE-8F09-AD2CFCC88023}">
      <text>
        <t xml:space="preserve">[Threaded comment]
Your version of Excel allows you to read this threaded comment; however, any edits to it will get removed if the file is opened in a newer version of Excel. Learn more: https://go.microsoft.com/fwlink/?linkid=870924
Comment:
    EQ 3
Reply:
    Project participants may adjust default IPCC values for VS for a site-specific average animal weight. If so, it shall be well explained and documented. The following equation shall be used </t>
      </text>
    </comment>
    <comment ref="D30" authorId="3" shapeId="0" xr:uid="{E52EC422-9769-402E-ADE5-77AD52F71035}">
      <text>
        <t>[Threaded comment]
Your version of Excel allows you to read this threaded comment; however, any edits to it will get removed if the file is opened in a newer version of Excel. Learn more: https://go.microsoft.com/fwlink/?linkid=870924
Comment:
    Eq 4</t>
      </text>
    </comment>
    <comment ref="D34" authorId="4" shapeId="0" xr:uid="{68B7EF61-A770-4CE3-A99C-E1A8B6821322}">
      <text>
        <t>[Threaded comment]
Your version of Excel allows you to read this threaded comment; however, any edits to it will get removed if the file is opened in a newer version of Excel. Learn more: https://go.microsoft.com/fwlink/?linkid=870924
Comment:
    Eq 2
Reply:
    Default option
Reply:
    PP should be able to choose if they want to use the default value (eq 2) or if they want to adjust the default value (eq 3)</t>
      </text>
    </comment>
    <comment ref="D35" authorId="5" shapeId="0" xr:uid="{ECDB7D98-DBDA-4454-93E6-DC4D6783951B}">
      <text>
        <t xml:space="preserve">[Threaded comment]
Your version of Excel allows you to read this threaded comment; however, any edits to it will get removed if the file is opened in a newer version of Excel. Learn more: https://go.microsoft.com/fwlink/?linkid=870924
Comment:
    EQ 3
Reply:
    Project participants may adjust default IPCC values for VS for a site-specific average animal weight. If so, it shall be well explained and documented. The following equation shall be used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tc={5FA0C20B-C61D-4F66-8E34-FB2D0749042F}</author>
    <author>tc={8E2E7A54-7B90-4D0C-9EFA-9D4149A6FB2E}</author>
    <author>tc={3C2FD650-F841-4E9F-B298-157B019CD878}</author>
    <author>tc={5B19DF32-074F-42C5-A369-F9457D09465F}</author>
    <author>tc={17202CCE-DBAC-4227-88A5-3D9054DCE6B1}</author>
    <author>tc={221C506E-003C-42E2-81D4-A4EA1BF63B59}</author>
  </authors>
  <commentList>
    <comment ref="D8" authorId="0" shapeId="0" xr:uid="{5FA0C20B-C61D-4F66-8E34-FB2D0749042F}">
      <text>
        <t>[Threaded comment]
Your version of Excel allows you to read this threaded comment; however, any edits to it will get removed if the file is opened in a newer version of Excel. Learn more: https://go.microsoft.com/fwlink/?linkid=870924
Comment:
    Eq 4</t>
      </text>
    </comment>
    <comment ref="D12" authorId="1" shapeId="0" xr:uid="{8E2E7A54-7B90-4D0C-9EFA-9D4149A6FB2E}">
      <text>
        <t>[Threaded comment]
Your version of Excel allows you to read this threaded comment; however, any edits to it will get removed if the file is opened in a newer version of Excel. Learn more: https://go.microsoft.com/fwlink/?linkid=870924
Comment:
    Eq 2
Reply:
    Default option
Reply:
    PP should be able to choose if they want to use the default value (eq 2) or if they want to adjust the default value (eq 3)</t>
      </text>
    </comment>
    <comment ref="D13" authorId="2" shapeId="0" xr:uid="{3C2FD650-F841-4E9F-B298-157B019CD878}">
      <text>
        <t xml:space="preserve">[Threaded comment]
Your version of Excel allows you to read this threaded comment; however, any edits to it will get removed if the file is opened in a newer version of Excel. Learn more: https://go.microsoft.com/fwlink/?linkid=870924
Comment:
    EQ 3
Reply:
    Project participants may adjust default IPCC values for VS for a site-specific average animal weight. If so, it shall be well explained and documented. The following equation shall be used </t>
      </text>
    </comment>
    <comment ref="D28" authorId="3" shapeId="0" xr:uid="{5B19DF32-074F-42C5-A369-F9457D09465F}">
      <text>
        <t>[Threaded comment]
Your version of Excel allows you to read this threaded comment; however, any edits to it will get removed if the file is opened in a newer version of Excel. Learn more: https://go.microsoft.com/fwlink/?linkid=870924
Comment:
    Eq 4</t>
      </text>
    </comment>
    <comment ref="D32" authorId="4" shapeId="0" xr:uid="{17202CCE-DBAC-4227-88A5-3D9054DCE6B1}">
      <text>
        <t>[Threaded comment]
Your version of Excel allows you to read this threaded comment; however, any edits to it will get removed if the file is opened in a newer version of Excel. Learn more: https://go.microsoft.com/fwlink/?linkid=870924
Comment:
    Eq 2
Reply:
    Default option
Reply:
    PP should be able to choose if they want to use the default value (eq 2) or if they want to adjust the default value (eq 3)</t>
      </text>
    </comment>
    <comment ref="D33" authorId="5" shapeId="0" xr:uid="{221C506E-003C-42E2-81D4-A4EA1BF63B59}">
      <text>
        <t xml:space="preserve">[Threaded comment]
Your version of Excel allows you to read this threaded comment; however, any edits to it will get removed if the file is opened in a newer version of Excel. Learn more: https://go.microsoft.com/fwlink/?linkid=870924
Comment:
    EQ 3
Reply:
    Project participants may adjust default IPCC values for VS for a site-specific average animal weight. If so, it shall be well explained and documented. The following equation shall be used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tc={4E77AC87-6030-4E06-AD27-32FED0DEC6E1}</author>
    <author>tc={725125E9-2F1C-4556-A0D0-2DB861288725}</author>
    <author>tc={4FB56301-8494-4291-B855-E2CE50527D0A}</author>
    <author>tc={EF9BF135-B406-4365-B975-F54137FB3D9A}</author>
  </authors>
  <commentList>
    <comment ref="C1" authorId="0" shapeId="0" xr:uid="{4E77AC87-6030-4E06-AD27-32FED0DEC6E1}">
      <text>
        <t xml:space="preserve">[Threaded comment]
Your version of Excel allows you to read this threaded comment; however, any edits to it will get removed if the file is opened in a newer version of Excel. Learn more: https://go.microsoft.com/fwlink/?linkid=870924
Comment:
    This is here for organization purposes </t>
      </text>
    </comment>
    <comment ref="D9" authorId="1" shapeId="0" xr:uid="{725125E9-2F1C-4556-A0D0-2DB861288725}">
      <text>
        <t>[Threaded comment]
Your version of Excel allows you to read this threaded comment; however, any edits to it will get removed if the file is opened in a newer version of Excel. Learn more: https://go.microsoft.com/fwlink/?linkid=870924
Comment:
    Eq 1</t>
      </text>
    </comment>
    <comment ref="D13" authorId="2" shapeId="0" xr:uid="{4FB56301-8494-4291-B855-E2CE50527D0A}">
      <text>
        <t>[Threaded comment]
Your version of Excel allows you to read this threaded comment; however, any edits to it will get removed if the file is opened in a newer version of Excel. Learn more: https://go.microsoft.com/fwlink/?linkid=870924
Comment:
    Eq 2</t>
      </text>
    </comment>
    <comment ref="D14" authorId="3" shapeId="0" xr:uid="{EF9BF135-B406-4365-B975-F54137FB3D9A}">
      <text>
        <t>[Threaded comment]
Your version of Excel allows you to read this threaded comment; however, any edits to it will get removed if the file is opened in a newer version of Excel. Learn more: https://go.microsoft.com/fwlink/?linkid=870924
Comment:
    Eq 3</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tc={7E8EB3C6-7DA7-46C9-BC1D-5495BBB1D567}</author>
    <author>tc={BEAF43DA-4747-4652-8078-2D10C8BD6C09}</author>
    <author>tc={19191A56-F32B-433B-818A-7D4EC4523075}</author>
    <author>tc={3B372020-2064-4789-852E-EAABCA2B1F93}</author>
    <author>tc={E377C9D6-B997-4CCF-86A3-34206AF1E753}</author>
    <author>tc={CBCF5DA6-FF4F-4F35-AE34-589FE00F3E85}</author>
    <author>tc={3BD4A953-DEA0-42CE-BF6C-39ADE1814867}</author>
    <author>tc={35472D10-0130-48AB-A9B8-6B7A33349132}</author>
  </authors>
  <commentList>
    <comment ref="D13" authorId="0" shapeId="0" xr:uid="{7E8EB3C6-7DA7-46C9-BC1D-5495BBB1D567}">
      <text>
        <t>[Threaded comment]
Your version of Excel allows you to read this threaded comment; however, any edits to it will get removed if the file is opened in a newer version of Excel. Learn more: https://go.microsoft.com/fwlink/?linkid=870924
Comment:
    Eq 1</t>
      </text>
    </comment>
    <comment ref="D14" authorId="1" shapeId="0" xr:uid="{BEAF43DA-4747-4652-8078-2D10C8BD6C09}">
      <text>
        <t>[Threaded comment]
Your version of Excel allows you to read this threaded comment; however, any edits to it will get removed if the file is opened in a newer version of Excel. Learn more: https://go.microsoft.com/fwlink/?linkid=870924
Comment:
    Eq 2</t>
      </text>
    </comment>
    <comment ref="D15" authorId="2" shapeId="0" xr:uid="{19191A56-F32B-433B-818A-7D4EC4523075}">
      <text>
        <t>[Threaded comment]
Your version of Excel allows you to read this threaded comment; however, any edits to it will get removed if the file is opened in a newer version of Excel. Learn more: https://go.microsoft.com/fwlink/?linkid=870924
Comment:
    Eq 3</t>
      </text>
    </comment>
    <comment ref="D17" authorId="3" shapeId="0" xr:uid="{3B372020-2064-4789-852E-EAABCA2B1F93}">
      <text>
        <t>[Threaded comment]
Your version of Excel allows you to read this threaded comment; however, any edits to it will get removed if the file is opened in a newer version of Excel. Learn more: https://go.microsoft.com/fwlink/?linkid=870924
Comment:
    At least monthly recording of data</t>
      </text>
    </comment>
    <comment ref="D32" authorId="4" shapeId="0" xr:uid="{E377C9D6-B997-4CCF-86A3-34206AF1E753}">
      <text>
        <t>[Threaded comment]
Your version of Excel allows you to read this threaded comment; however, any edits to it will get removed if the file is opened in a newer version of Excel. Learn more: https://go.microsoft.com/fwlink/?linkid=870924
Comment:
    Eq 4</t>
      </text>
    </comment>
    <comment ref="D33" authorId="5" shapeId="0" xr:uid="{CBCF5DA6-FF4F-4F35-AE34-589FE00F3E85}">
      <text>
        <t>[Threaded comment]
Your version of Excel allows you to read this threaded comment; however, any edits to it will get removed if the file is opened in a newer version of Excel. Learn more: https://go.microsoft.com/fwlink/?linkid=870924
Comment:
    Eq 5</t>
      </text>
    </comment>
    <comment ref="D38" authorId="6" shapeId="0" xr:uid="{3BD4A953-DEA0-42CE-BF6C-39ADE1814867}">
      <text>
        <t>[Threaded comment]
Your version of Excel allows you to read this threaded comment; however, any edits to it will get removed if the file is opened in a newer version of Excel. Learn more: https://go.microsoft.com/fwlink/?linkid=870924
Comment:
    Eq 7</t>
      </text>
    </comment>
    <comment ref="D39" authorId="7" shapeId="0" xr:uid="{35472D10-0130-48AB-A9B8-6B7A33349132}">
      <text>
        <t>[Threaded comment]
Your version of Excel allows you to read this threaded comment; however, any edits to it will get removed if the file is opened in a newer version of Excel. Learn more: https://go.microsoft.com/fwlink/?linkid=870924
Comment:
    Eq 8</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tc={29FA90DE-F9F0-49AD-AED4-67ACF9534925}</author>
    <author>tc={4739462F-2D02-43A5-A576-75202C5205D9}</author>
    <author>tc={E6C20FA2-CD60-4AE4-95C6-B4205C93DF79}</author>
    <author>tc={9A26832D-4983-4949-A5C7-C77A1FA5A1E6}</author>
    <author>tc={BDD828A1-3926-48EC-84E1-AA8E8BF3EBA3}</author>
    <author>tc={7CC1D49C-511B-45B1-9B56-FA9C720ECF49}</author>
    <author>tc={7D40B52B-E791-4FF6-B218-2091A5A5C8C3}</author>
    <author>tc={8532C26E-6652-4B5D-B628-9ED27AD6736E}</author>
    <author>tc={730B6E38-5227-4A20-9035-F73680C470E3}</author>
    <author>tc={DB1BA97D-41AF-451F-B6F1-764D20FDF7A9}</author>
    <author>tc={47D7476B-4243-45E5-A21A-CE6C7F7A0C0B}</author>
  </authors>
  <commentList>
    <comment ref="D4" authorId="0" shapeId="0" xr:uid="{29FA90DE-F9F0-49AD-AED4-67ACF9534925}">
      <text>
        <t>[Threaded comment]
Your version of Excel allows you to read this threaded comment; however, any edits to it will get removed if the file is opened in a newer version of Excel. Learn more: https://go.microsoft.com/fwlink/?linkid=870924
Comment:
    Eq 4</t>
      </text>
    </comment>
    <comment ref="D5" authorId="1" shapeId="0" xr:uid="{4739462F-2D02-43A5-A576-75202C5205D9}">
      <text>
        <t>[Threaded comment]
Your version of Excel allows you to read this threaded comment; however, any edits to it will get removed if the file is opened in a newer version of Excel. Learn more: https://go.microsoft.com/fwlink/?linkid=870924
Comment:
    Eq 5</t>
      </text>
    </comment>
    <comment ref="D7" authorId="2" shapeId="0" xr:uid="{E6C20FA2-CD60-4AE4-95C6-B4205C93DF79}">
      <text>
        <t>[Threaded comment]
Your version of Excel allows you to read this threaded comment; however, any edits to it will get removed if the file is opened in a newer version of Excel. Learn more: https://go.microsoft.com/fwlink/?linkid=870924
Comment:
    Unit of measurement can be cubic meters, metric ton, or liter. This seems to be confusing when it comes to the calculation. Depending on the unit of measurement used there could be errors in the final calc. This is following the methodology so I'll leave it as is.</t>
      </text>
    </comment>
    <comment ref="D8" authorId="3" shapeId="0" xr:uid="{9A26832D-4983-4949-A5C7-C77A1FA5A1E6}">
      <text>
        <t>[Threaded comment]
Your version of Excel allows you to read this threaded comment; however, any edits to it will get removed if the file is opened in a newer version of Excel. Learn more: https://go.microsoft.com/fwlink/?linkid=870924
Comment:
    Assumptions are made for this that the unit for FCn,i,t is in metric tons</t>
      </text>
    </comment>
    <comment ref="F8" authorId="4" shapeId="0" xr:uid="{BDD828A1-3926-48EC-84E1-AA8E8BF3EBA3}">
      <text>
        <t>[Threaded comment]
Your version of Excel allows you to read this threaded comment; however, any edits to it will get removed if the file is opened in a newer version of Excel. Learn more: https://go.microsoft.com/fwlink/?linkid=870924
Comment:
    Dependent on fuel type selection</t>
      </text>
    </comment>
    <comment ref="F9" authorId="5" shapeId="0" xr:uid="{7CC1D49C-511B-45B1-9B56-FA9C720ECF49}">
      <text>
        <t>[Threaded comment]
Your version of Excel allows you to read this threaded comment; however, any edits to it will get removed if the file is opened in a newer version of Excel. Learn more: https://go.microsoft.com/fwlink/?linkid=870924
Comment:
    Dependent on fuel type selection</t>
      </text>
    </comment>
    <comment ref="D16" authorId="6" shapeId="0" xr:uid="{7D40B52B-E791-4FF6-B218-2091A5A5C8C3}">
      <text>
        <t>[Threaded comment]
Your version of Excel allows you to read this threaded comment; however, any edits to it will get removed if the file is opened in a newer version of Excel. Learn more: https://go.microsoft.com/fwlink/?linkid=870924
Comment:
    Eq 4</t>
      </text>
    </comment>
    <comment ref="D17" authorId="7" shapeId="0" xr:uid="{8532C26E-6652-4B5D-B628-9ED27AD6736E}">
      <text>
        <t>[Threaded comment]
Your version of Excel allows you to read this threaded comment; however, any edits to it will get removed if the file is opened in a newer version of Excel. Learn more: https://go.microsoft.com/fwlink/?linkid=870924
Comment:
    Eq 5</t>
      </text>
    </comment>
    <comment ref="D19" authorId="8" shapeId="0" xr:uid="{730B6E38-5227-4A20-9035-F73680C470E3}">
      <text>
        <t>[Threaded comment]
Your version of Excel allows you to read this threaded comment; however, any edits to it will get removed if the file is opened in a newer version of Excel. Learn more: https://go.microsoft.com/fwlink/?linkid=870924
Comment:
    Unit of measurement can be cubic meters, metric ton, or liter. This seems to be confusing when it comes to the calculation. Depending on the unit of measurement used there could be errors in the final calc. This is following the methodology so I'll leave it as is.</t>
      </text>
    </comment>
    <comment ref="F20" authorId="9" shapeId="0" xr:uid="{DB1BA97D-41AF-451F-B6F1-764D20FDF7A9}">
      <text>
        <t>[Threaded comment]
Your version of Excel allows you to read this threaded comment; however, any edits to it will get removed if the file is opened in a newer version of Excel. Learn more: https://go.microsoft.com/fwlink/?linkid=870924
Comment:
    Dependent on fuel type selection</t>
      </text>
    </comment>
    <comment ref="F21" authorId="10" shapeId="0" xr:uid="{47D7476B-4243-45E5-A21A-CE6C7F7A0C0B}">
      <text>
        <t>[Threaded comment]
Your version of Excel allows you to read this threaded comment; however, any edits to it will get removed if the file is opened in a newer version of Excel. Learn more: https://go.microsoft.com/fwlink/?linkid=870924
Comment:
    Dependent on fuel type selection</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tc={1972914C-A658-46FD-87D9-5546E6F8DFB8}</author>
    <author>tc={9A2B20CC-1A38-4549-8761-B639B8B1499F}</author>
  </authors>
  <commentList>
    <comment ref="A1" authorId="0" shapeId="0" xr:uid="{1972914C-A658-46FD-87D9-5546E6F8DFB8}">
      <text>
        <t>[Threaded comment]
Your version of Excel allows you to read this threaded comment; however, any edits to it will get removed if the file is opened in a newer version of Excel. Learn more: https://go.microsoft.com/fwlink/?linkid=870924
Comment:
    IPCC</t>
      </text>
    </comment>
    <comment ref="C3" authorId="1" shapeId="0" xr:uid="{9A2B20CC-1A38-4549-8761-B639B8B1499F}">
      <text>
        <t>[Threaded comment]
Your version of Excel allows you to read this threaded comment; however, any edits to it will get removed if the file is opened in a newer version of Excel. Learn more: https://go.microsoft.com/fwlink/?linkid=870924
Comment:
    Upper Default Value at the 95% confidence interval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tc={67AE920D-4546-495C-8C90-39E3B47BEE71}</author>
    <author>tc={9278B7AD-32FB-4819-9A51-49A855A0049D}</author>
    <author>tc={87201927-EFA8-44B9-8475-D94FB4C9B2A1}</author>
    <author>tc={F3DF6DE3-EDD7-4E78-9B2D-3C8C5DC9D344}</author>
    <author>tc={9975357D-0592-4E46-88E6-15039414F0DD}</author>
    <author>tc={0E0320F1-B92B-4A60-9015-824417C92C8F}</author>
    <author>tc={FA09F900-D3F7-4F1F-B366-294923B78A17}</author>
    <author>tc={07841D25-1509-438D-B9B7-E3585C21484C}</author>
    <author>tc={7EA4205B-B3DC-472F-913E-7972767323E3}</author>
    <author>tc={4673A058-533D-4E7F-85B6-62A755C6F9F1}</author>
    <author>tc={183AA168-3E61-40A5-8C9A-AC527E26BA84}</author>
    <author>tc={E9F5C8A3-5AA2-4B3F-BC85-B5C58C48DAA2}</author>
    <author>tc={7AE7B7B6-D1F0-401C-99C0-B7FF7422152E}</author>
    <author>tc={20798707-05DC-4A54-9350-DBF8000D9460}</author>
    <author>tc={C39A13E8-331C-4AD2-BA43-3BEA11FF86C4}</author>
    <author>tc={3FA8AB76-6A93-4C6B-BAF2-4489108685BF}</author>
    <author>tc={C778BD13-697B-4488-8B72-55E09BFF97C2}</author>
    <author>tc={14D7E649-F025-4F91-B969-9E7BE273B214}</author>
    <author>tc={65778340-FEEC-40B9-830B-98A4E22D5ABC}</author>
  </authors>
  <commentList>
    <comment ref="C44" authorId="0" shapeId="0" xr:uid="{67AE920D-4546-495C-8C90-39E3B47BEE71}">
      <text>
        <t>[Threaded comment]
Your version of Excel allows you to read this threaded comment; however, any edits to it will get removed if the file is opened in a newer version of Excel. Learn more: https://go.microsoft.com/fwlink/?linkid=870924
Comment:
    Eq 5</t>
      </text>
    </comment>
    <comment ref="C45" authorId="1" shapeId="0" xr:uid="{9278B7AD-32FB-4819-9A51-49A855A0049D}">
      <text>
        <t>[Threaded comment]
Your version of Excel allows you to read this threaded comment; however, any edits to it will get removed if the file is opened in a newer version of Excel. Learn more: https://go.microsoft.com/fwlink/?linkid=870924
Comment:
    Eq 6</t>
      </text>
    </comment>
    <comment ref="C48" authorId="2" shapeId="0" xr:uid="{87201927-EFA8-44B9-8475-D94FB4C9B2A1}">
      <text>
        <t>[Threaded comment]
Your version of Excel allows you to read this threaded comment; however, any edits to it will get removed if the file is opened in a newer version of Excel. Learn more: https://go.microsoft.com/fwlink/?linkid=870924
Comment:
    Eq 7</t>
      </text>
    </comment>
    <comment ref="C49" authorId="3" shapeId="0" xr:uid="{F3DF6DE3-EDD7-4E78-9B2D-3C8C5DC9D344}">
      <text>
        <t>[Threaded comment]
Your version of Excel allows you to read this threaded comment; however, any edits to it will get removed if the file is opened in a newer version of Excel. Learn more: https://go.microsoft.com/fwlink/?linkid=870924
Comment:
    Comes from tool 08</t>
      </text>
    </comment>
    <comment ref="C50" authorId="4" shapeId="0" xr:uid="{9975357D-0592-4E46-88E6-15039414F0DD}">
      <text>
        <t>[Threaded comment]
Your version of Excel allows you to read this threaded comment; however, any edits to it will get removed if the file is opened in a newer version of Excel. Learn more: https://go.microsoft.com/fwlink/?linkid=870924
Comment:
    Eq 5 in tool 08</t>
      </text>
    </comment>
    <comment ref="C51" authorId="5" shapeId="0" xr:uid="{0E0320F1-B92B-4A60-9015-824417C92C8F}">
      <text>
        <t>[Threaded comment]
Your version of Excel allows you to read this threaded comment; however, any edits to it will get removed if the file is opened in a newer version of Excel. Learn more: https://go.microsoft.com/fwlink/?linkid=870924
Comment:
    Comes from tool 08</t>
      </text>
    </comment>
    <comment ref="C54" authorId="6" shapeId="0" xr:uid="{FA09F900-D3F7-4F1F-B366-294923B78A17}">
      <text>
        <t>[Threaded comment]
Your version of Excel allows you to read this threaded comment; however, any edits to it will get removed if the file is opened in a newer version of Excel. Learn more: https://go.microsoft.com/fwlink/?linkid=870924
Comment:
    Eq 3</t>
      </text>
    </comment>
    <comment ref="C56" authorId="7" shapeId="0" xr:uid="{07841D25-1509-438D-B9B7-E3585C21484C}">
      <text>
        <t>[Threaded comment]
Your version of Excel allows you to read this threaded comment; however, any edits to it will get removed if the file is opened in a newer version of Excel. Learn more: https://go.microsoft.com/fwlink/?linkid=870924
Comment:
    Eq 4</t>
      </text>
    </comment>
    <comment ref="C57" authorId="8" shapeId="0" xr:uid="{7EA4205B-B3DC-472F-913E-7972767323E3}">
      <text>
        <t>[Threaded comment]
Your version of Excel allows you to read this threaded comment; however, any edits to it will get removed if the file is opened in a newer version of Excel. Learn more: https://go.microsoft.com/fwlink/?linkid=870924
Comment:
    Eq 8</t>
      </text>
    </comment>
    <comment ref="C58" authorId="9" shapeId="0" xr:uid="{4673A058-533D-4E7F-85B6-62A755C6F9F1}">
      <text>
        <t>[Threaded comment]
Your version of Excel allows you to read this threaded comment; however, any edits to it will get removed if the file is opened in a newer version of Excel. Learn more: https://go.microsoft.com/fwlink/?linkid=870924
Comment:
    Eq 9</t>
      </text>
    </comment>
    <comment ref="C59" authorId="10" shapeId="0" xr:uid="{183AA168-3E61-40A5-8C9A-AC527E26BA84}">
      <text>
        <t>[Threaded comment]
Your version of Excel allows you to read this threaded comment; however, any edits to it will get removed if the file is opened in a newer version of Excel. Learn more: https://go.microsoft.com/fwlink/?linkid=870924
Comment:
    Eq 10</t>
      </text>
    </comment>
    <comment ref="C60" authorId="11" shapeId="0" xr:uid="{E9F5C8A3-5AA2-4B3F-BC85-B5C58C48DAA2}">
      <text>
        <t>[Threaded comment]
Your version of Excel allows you to read this threaded comment; however, any edits to it will get removed if the file is opened in a newer version of Excel. Learn more: https://go.microsoft.com/fwlink/?linkid=870924
Comment:
    Eq 11</t>
      </text>
    </comment>
    <comment ref="C61" authorId="12" shapeId="0" xr:uid="{7AE7B7B6-D1F0-401C-99C0-B7FF7422152E}">
      <text>
        <t>[Threaded comment]
Your version of Excel allows you to read this threaded comment; however, any edits to it will get removed if the file is opened in a newer version of Excel. Learn more: https://go.microsoft.com/fwlink/?linkid=870924
Comment:
    Eq 12</t>
      </text>
    </comment>
    <comment ref="C62" authorId="13" shapeId="0" xr:uid="{20798707-05DC-4A54-9350-DBF8000D9460}">
      <text>
        <t>[Threaded comment]
Your version of Excel allows you to read this threaded comment; however, any edits to it will get removed if the file is opened in a newer version of Excel. Learn more: https://go.microsoft.com/fwlink/?linkid=870924
Comment:
    Eq 13</t>
      </text>
    </comment>
    <comment ref="C64" authorId="14" shapeId="0" xr:uid="{C39A13E8-331C-4AD2-BA43-3BEA11FF86C4}">
      <text>
        <t>[Threaded comment]
Your version of Excel allows you to read this threaded comment; however, any edits to it will get removed if the file is opened in a newer version of Excel. Learn more: https://go.microsoft.com/fwlink/?linkid=870924
Comment:
    Eq 14</t>
      </text>
    </comment>
    <comment ref="C65" authorId="15" shapeId="0" xr:uid="{3FA8AB76-6A93-4C6B-BAF2-4489108685BF}">
      <text>
        <t>[Threaded comment]
Your version of Excel allows you to read this threaded comment; however, any edits to it will get removed if the file is opened in a newer version of Excel. Learn more: https://go.microsoft.com/fwlink/?linkid=870924
Comment:
    Eq 14</t>
      </text>
    </comment>
    <comment ref="C66" authorId="16" shapeId="0" xr:uid="{C778BD13-697B-4488-8B72-55E09BFF97C2}">
      <text>
        <t>[Threaded comment]
Your version of Excel allows you to read this threaded comment; however, any edits to it will get removed if the file is opened in a newer version of Excel. Learn more: https://go.microsoft.com/fwlink/?linkid=870924
Comment:
    Eq 14</t>
      </text>
    </comment>
    <comment ref="C67" authorId="17" shapeId="0" xr:uid="{14D7E649-F025-4F91-B969-9E7BE273B214}">
      <text>
        <t>[Threaded comment]
Your version of Excel allows you to read this threaded comment; however, any edits to it will get removed if the file is opened in a newer version of Excel. Learn more: https://go.microsoft.com/fwlink/?linkid=870924
Comment:
    Eq 14</t>
      </text>
    </comment>
    <comment ref="C69" authorId="18" shapeId="0" xr:uid="{65778340-FEEC-40B9-830B-98A4E22D5ABC}">
      <text>
        <t>[Threaded comment]
Your version of Excel allows you to read this threaded comment; however, any edits to it will get removed if the file is opened in a newer version of Excel. Learn more: https://go.microsoft.com/fwlink/?linkid=870924
Comment:
    Eq 15</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tc={28A7619C-4B50-4E5B-AECB-B3ADD6528EE0}</author>
    <author>tc={AE22B233-FE1A-4A5D-BA51-4A7BB6ED6D61}</author>
    <author>tc={CFBF9B3E-C735-4516-8F04-ADF3F24264A7}</author>
    <author>tc={488CCFB6-6AA8-42A1-A762-B0556923777E}</author>
    <author>tc={F8305B3A-F7B1-4315-8887-0340B3D93C75}</author>
    <author>tc={33337DA6-ED7D-4181-8003-6266741B5E07}</author>
    <author>tc={B5CDADC8-DFE0-43A8-ACC0-FF703B7656D3}</author>
    <author>tc={23E7147D-2EDB-4499-87CE-727D9F02AFAF}</author>
    <author>tc={0EAC2242-6109-4B83-A0B8-6BEBAB1A6FFC}</author>
    <author>tc={7C9702C5-4A27-4CAA-8A2F-3E847DDBB7E9}</author>
    <author>tc={EA140F73-92BC-4298-AB5E-CA2758DDB7F5}</author>
    <author>tc={C5712AA0-D3E5-46BC-98B4-E1D82FE80350}</author>
    <author>tc={08B3DA83-7691-4929-BCEE-64CE9C853DBA}</author>
    <author>tc={3CC693C3-827C-4A95-BBAF-CE31A5581D57}</author>
    <author>tc={39B14187-7DF9-489D-B56B-63B26C9BD876}</author>
    <author>tc={D1F93FE6-0932-49F0-8B22-0DBDAF42403B}</author>
    <author>tc={42172633-E260-4307-AA72-6AF7EFC5A8F7}</author>
    <author>tc={B74F85D2-30C3-4630-B105-1FD2DC2DC1A4}</author>
    <author>tc={BA23AD4F-DC30-4CCB-9752-FEC9917E5983}</author>
    <author>tc={CA257184-DCF5-44BE-A30F-160ED1B756DF}</author>
    <author>tc={3D901F33-4920-4FC0-9DAF-4E2D3535B90A}</author>
    <author>tc={B9608D95-23DC-4C04-AB5A-84D640DBCC8E}</author>
    <author>tc={6EF90DA0-7F8B-4C2F-A5F4-16E856477B50}</author>
    <author>tc={70E80221-E82B-4E1F-BC51-0FC5CA7EE18A}</author>
    <author>tc={9B2EF7A1-8390-442D-9AC1-C74B8FF339CC}</author>
  </authors>
  <commentList>
    <comment ref="F11" authorId="0" shapeId="0" xr:uid="{28A7619C-4B50-4E5B-AECB-B3ADD6528EE0}">
      <text>
        <t>[Threaded comment]
Your version of Excel allows you to read this threaded comment; however, any edits to it will get removed if the file is opened in a newer version of Excel. Learn more: https://go.microsoft.com/fwlink/?linkid=870924
Comment:
    Tool 04 has to be digitized in order to use monitored data for Option 2 (solid waste)</t>
      </text>
    </comment>
    <comment ref="D13" authorId="1" shapeId="0" xr:uid="{AE22B233-FE1A-4A5D-BA51-4A7BB6ED6D61}">
      <text>
        <t>[Threaded comment]
Your version of Excel allows you to read this threaded comment; however, any edits to it will get removed if the file is opened in a newer version of Excel. Learn more: https://go.microsoft.com/fwlink/?linkid=870924
Comment:
    Eq 1</t>
      </text>
    </comment>
    <comment ref="F15" authorId="2" shapeId="0" xr:uid="{CFBF9B3E-C735-4516-8F04-ADF3F24264A7}">
      <text>
        <t>[Threaded comment]
Your version of Excel allows you to read this threaded comment; however, any edits to it will get removed if the file is opened in a newer version of Excel. Learn more: https://go.microsoft.com/fwlink/?linkid=870924
Comment:
    Comes from tool 03</t>
      </text>
    </comment>
    <comment ref="D19" authorId="3" shapeId="0" xr:uid="{488CCFB6-6AA8-42A1-A762-B0556923777E}">
      <text>
        <t xml:space="preserve">[Threaded comment]
Your version of Excel allows you to read this threaded comment; however, any edits to it will get removed if the file is opened in a newer version of Excel. Learn more: https://go.microsoft.com/fwlink/?linkid=870924
Comment:
    Eq 4
Reply:
    Tool 8 Tool to determine the mass flow of a greenhouse gas in a gaseous stream </t>
      </text>
    </comment>
    <comment ref="D24" authorId="4" shapeId="0" xr:uid="{F8305B3A-F7B1-4315-8887-0340B3D93C75}">
      <text>
        <t>[Threaded comment]
Your version of Excel allows you to read this threaded comment; however, any edits to it will get removed if the file is opened in a newer version of Excel. Learn more: https://go.microsoft.com/fwlink/?linkid=870924
Comment:
    Eq 3</t>
      </text>
    </comment>
    <comment ref="D28" authorId="5" shapeId="0" xr:uid="{33337DA6-ED7D-4181-8003-6266741B5E07}">
      <text>
        <t>[Threaded comment]
Your version of Excel allows you to read this threaded comment; however, any edits to it will get removed if the file is opened in a newer version of Excel. Learn more: https://go.microsoft.com/fwlink/?linkid=870924
Comment:
    Eq 9</t>
      </text>
    </comment>
    <comment ref="D29" authorId="6" shapeId="0" xr:uid="{B5CDADC8-DFE0-43A8-ACC0-FF703B7656D3}">
      <text>
        <t>[Threaded comment]
Your version of Excel allows you to read this threaded comment; however, any edits to it will get removed if the file is opened in a newer version of Excel. Learn more: https://go.microsoft.com/fwlink/?linkid=870924
Comment:
    Eq 15</t>
      </text>
    </comment>
    <comment ref="D31" authorId="7" shapeId="0" xr:uid="{23E7147D-2EDB-4499-87CE-727D9F02AFAF}">
      <text>
        <t>[Threaded comment]
Your version of Excel allows you to read this threaded comment; however, any edits to it will get removed if the file is opened in a newer version of Excel. Learn more: https://go.microsoft.com/fwlink/?linkid=870924
Comment:
    Eq 10</t>
      </text>
    </comment>
    <comment ref="F34" authorId="8" shapeId="0" xr:uid="{0EAC2242-6109-4B83-A0B8-6BEBAB1A6FFC}">
      <text>
        <t>[Threaded comment]
Your version of Excel allows you to read this threaded comment; however, any edits to it will get removed if the file is opened in a newer version of Excel. Learn more: https://go.microsoft.com/fwlink/?linkid=870924
Comment:
    Methane</t>
      </text>
    </comment>
    <comment ref="D37" authorId="9" shapeId="0" xr:uid="{7C9702C5-4A27-4CAA-8A2F-3E847DDBB7E9}">
      <text>
        <t>[Threaded comment]
Your version of Excel allows you to read this threaded comment; however, any edits to it will get removed if the file is opened in a newer version of Excel. Learn more: https://go.microsoft.com/fwlink/?linkid=870924
Comment:
    Eq 16</t>
      </text>
    </comment>
    <comment ref="D38" authorId="10" shapeId="0" xr:uid="{EA140F73-92BC-4298-AB5E-CA2758DDB7F5}">
      <text>
        <t>[Threaded comment]
Your version of Excel allows you to read this threaded comment; however, any edits to it will get removed if the file is opened in a newer version of Excel. Learn more: https://go.microsoft.com/fwlink/?linkid=870924
Comment:
    Eq 17</t>
      </text>
    </comment>
    <comment ref="D42" authorId="11" shapeId="0" xr:uid="{C5712AA0-D3E5-46BC-98B4-E1D82FE80350}">
      <text>
        <t>[Threaded comment]
Your version of Excel allows you to read this threaded comment; however, any edits to it will get removed if the file is opened in a newer version of Excel. Learn more: https://go.microsoft.com/fwlink/?linkid=870924
Comment:
    Eq 2</t>
      </text>
    </comment>
    <comment ref="B46" authorId="12" shapeId="0" xr:uid="{08B3DA83-7691-4929-BCEE-64CE9C853DBA}">
      <text>
        <t>[Threaded comment]
Your version of Excel allows you to read this threaded comment; however, any edits to it will get removed if the file is opened in a newer version of Excel. Learn more: https://go.microsoft.com/fwlink/?linkid=870924
Comment:
    This data comes from tool 05</t>
      </text>
    </comment>
    <comment ref="D47" authorId="13" shapeId="0" xr:uid="{3CC693C3-827C-4A95-BBAF-CE31A5581D57}">
      <text>
        <t>[Threaded comment]
Your version of Excel allows you to read this threaded comment; however, any edits to it will get removed if the file is opened in a newer version of Excel. Learn more: https://go.microsoft.com/fwlink/?linkid=870924
Comment:
    Eq 1
Reply:
    Tool 05</t>
      </text>
    </comment>
    <comment ref="D49" authorId="14" shapeId="0" xr:uid="{39B14187-7DF9-489D-B56B-63B26C9BD876}">
      <text>
        <t>[Threaded comment]
Your version of Excel allows you to read this threaded comment; however, any edits to it will get removed if the file is opened in a newer version of Excel. Learn more: https://go.microsoft.com/fwlink/?linkid=870924
Comment:
    Eq 3</t>
      </text>
    </comment>
    <comment ref="B53" authorId="15" shapeId="0" xr:uid="{D1F93FE6-0932-49F0-8B22-0DBDAF42403B}">
      <text>
        <t>[Threaded comment]
Your version of Excel allows you to read this threaded comment; however, any edits to it will get removed if the file is opened in a newer version of Excel. Learn more: https://go.microsoft.com/fwlink/?linkid=870924
Comment:
    This data comes from tool 05</t>
      </text>
    </comment>
    <comment ref="D54" authorId="16" shapeId="0" xr:uid="{42172633-E260-4307-AA72-6AF7EFC5A8F7}">
      <text>
        <t>[Threaded comment]
Your version of Excel allows you to read this threaded comment; however, any edits to it will get removed if the file is opened in a newer version of Excel. Learn more: https://go.microsoft.com/fwlink/?linkid=870924
Comment:
    Eq 1
Reply:
    Tool 05</t>
      </text>
    </comment>
    <comment ref="D56" authorId="17" shapeId="0" xr:uid="{B74F85D2-30C3-4630-B105-1FD2DC2DC1A4}">
      <text>
        <t>[Threaded comment]
Your version of Excel allows you to read this threaded comment; however, any edits to it will get removed if the file is opened in a newer version of Excel. Learn more: https://go.microsoft.com/fwlink/?linkid=870924
Comment:
    Eq 4</t>
      </text>
    </comment>
    <comment ref="B60" authorId="18" shapeId="0" xr:uid="{BA23AD4F-DC30-4CCB-9752-FEC9917E5983}">
      <text>
        <t>[Threaded comment]
Your version of Excel allows you to read this threaded comment; however, any edits to it will get removed if the file is opened in a newer version of Excel. Learn more: https://go.microsoft.com/fwlink/?linkid=870924
Comment:
    Data comes from Tool 06</t>
      </text>
    </comment>
    <comment ref="D61" authorId="19" shapeId="0" xr:uid="{CA257184-DCF5-44BE-A30F-160ED1B756DF}">
      <text>
        <t>[Threaded comment]
Your version of Excel allows you to read this threaded comment; however, any edits to it will get removed if the file is opened in a newer version of Excel. Learn more: https://go.microsoft.com/fwlink/?linkid=870924
Comment:
    Tool 06
Reply:
    Eq 15</t>
      </text>
    </comment>
    <comment ref="D63" authorId="20" shapeId="0" xr:uid="{3D901F33-4920-4FC0-9DAF-4E2D3535B90A}">
      <text>
        <t>[Threaded comment]
Your version of Excel allows you to read this threaded comment; however, any edits to it will get removed if the file is opened in a newer version of Excel. Learn more: https://go.microsoft.com/fwlink/?linkid=870924
Comment:
    Eq 5</t>
      </text>
    </comment>
    <comment ref="F65" authorId="21" shapeId="0" xr:uid="{B9608D95-23DC-4C04-AB5A-84D640DBCC8E}">
      <text>
        <t xml:space="preserve">[Threaded comment]
Your version of Excel allows you to read this threaded comment; however, any edits to it will get removed if the file is opened in a newer version of Excel. Learn more: https://go.microsoft.com/fwlink/?linkid=870924
Comment:
    Value of 0 until methodological tool “Project and leakage emissions from composting” is digitized. </t>
      </text>
    </comment>
    <comment ref="D67" authorId="22" shapeId="0" xr:uid="{6EF90DA0-7F8B-4C2F-A5F4-16E856477B50}">
      <text>
        <t>[Threaded comment]
Your version of Excel allows you to read this threaded comment; however, any edits to it will get removed if the file is opened in a newer version of Excel. Learn more: https://go.microsoft.com/fwlink/?linkid=870924
Comment:
    Eq 6</t>
      </text>
    </comment>
    <comment ref="D74" authorId="23" shapeId="0" xr:uid="{70E80221-E82B-4E1F-BC51-0FC5CA7EE18A}">
      <text>
        <t>[Threaded comment]
Your version of Excel allows you to read this threaded comment; however, any edits to it will get removed if the file is opened in a newer version of Excel. Learn more: https://go.microsoft.com/fwlink/?linkid=870924
Comment:
    Eq 7</t>
      </text>
    </comment>
    <comment ref="D79" authorId="24" shapeId="0" xr:uid="{9B2EF7A1-8390-442D-9AC1-C74B8FF339CC}">
      <text>
        <t>[Threaded comment]
Your version of Excel allows you to read this threaded comment; however, any edits to it will get removed if the file is opened in a newer version of Excel. Learn more: https://go.microsoft.com/fwlink/?linkid=870924
Comment:
    Eq 8</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<sst xmlns="http://schemas.openxmlformats.org/spreadsheetml/2006/main" count="2342" uniqueCount="648">
  <si>
    <t>Required Field</t>
  </si>
  <si>
    <t>Schema Type</t>
  </si>
  <si>
    <t>Question</t>
  </si>
  <si>
    <t>Allow Multiple Answers</t>
  </si>
  <si>
    <t>Answer</t>
  </si>
  <si>
    <t>Project Details</t>
  </si>
  <si>
    <t>Yes</t>
  </si>
  <si>
    <t>String</t>
  </si>
  <si>
    <t>Summary of the Project Description</t>
  </si>
  <si>
    <t>No</t>
  </si>
  <si>
    <t>Project Scope</t>
  </si>
  <si>
    <t>Project Category</t>
  </si>
  <si>
    <t>Type of Activity</t>
  </si>
  <si>
    <t>Project Eligibility</t>
  </si>
  <si>
    <t>The project activity would not occur or be financially attractive without the income associated with the sale of CERs.</t>
  </si>
  <si>
    <t>Project Proponent Organization Name</t>
  </si>
  <si>
    <t>Name</t>
  </si>
  <si>
    <t>Project Proponent Contact Person</t>
  </si>
  <si>
    <t>John Doe</t>
  </si>
  <si>
    <t xml:space="preserve">Project Proponent Title </t>
  </si>
  <si>
    <t xml:space="preserve">Owner </t>
  </si>
  <si>
    <t>Address</t>
  </si>
  <si>
    <t xml:space="preserve">Project Proponent Address </t>
  </si>
  <si>
    <t>Phone Number</t>
  </si>
  <si>
    <t xml:space="preserve">Project Proponent Telephone </t>
  </si>
  <si>
    <t>(555) 222-3131</t>
  </si>
  <si>
    <t>Email</t>
  </si>
  <si>
    <t>Project Proponent Email</t>
  </si>
  <si>
    <t>Participation under other GHG Programs</t>
  </si>
  <si>
    <t>Other Forms of Environmental Credit</t>
  </si>
  <si>
    <t>Title and Reference of Methodologies</t>
  </si>
  <si>
    <t>Date Range</t>
  </si>
  <si>
    <t>Crediting Period</t>
  </si>
  <si>
    <t>01/01/2018-01/01/2019</t>
  </si>
  <si>
    <t>Monitoring Period</t>
  </si>
  <si>
    <t>Monitoring Plan</t>
  </si>
  <si>
    <t>Baseline Emissions 17a</t>
  </si>
  <si>
    <t>Baseline Emissions 17b</t>
  </si>
  <si>
    <t xml:space="preserve">Project Activity Emissions </t>
  </si>
  <si>
    <t>Project emissions due to physical leakage of biogas 17a</t>
  </si>
  <si>
    <t>Project emissions due to physical leakage of biogas 17b</t>
  </si>
  <si>
    <t xml:space="preserve">Project emissions on account of manure storage </t>
  </si>
  <si>
    <t>Emission Reductions 17a</t>
  </si>
  <si>
    <t>Emission Reductions 17b</t>
  </si>
  <si>
    <t xml:space="preserve">Methane captured and destroyed or used gainfully by the project activity (biogas flared or combusted) </t>
  </si>
  <si>
    <t xml:space="preserve">Methane captured and destroyed or used gainfully by the project activity (recovered methane for power generation) </t>
  </si>
  <si>
    <t xml:space="preserve">Project Emissions associated with anaerobic digesters </t>
  </si>
  <si>
    <t>Project emissions associated with the anaerobic digester in year y (t CO2e)</t>
  </si>
  <si>
    <t>Project emissions from electricity consumption associated with the anaerobic digester in year y (t CO2e)</t>
  </si>
  <si>
    <t>Project emissions from fossil fuel consumption associated with the anaerobic digester in year y (t CO2e)</t>
  </si>
  <si>
    <t>Project emissions of methane from the anaerobic digester in year y (t CO2e)</t>
  </si>
  <si>
    <t>Project emissions from flaring of biogas in year y (t CO2e)</t>
  </si>
  <si>
    <t>Is your project large scale or small scale?</t>
  </si>
  <si>
    <t>Determination of the quantity of methane produced in the digester (QCH4,y)</t>
  </si>
  <si>
    <t>Determination of project emissions from electricity consumption (PEEC,y)</t>
  </si>
  <si>
    <t>Do you want to use default values or monitored data to calculate project emissions from electricity consumption associated with anaerobic digesters?</t>
  </si>
  <si>
    <t>Quantity of methane produced in the digester (QCH4,y) (Monitored Data)</t>
  </si>
  <si>
    <t>Pn Absolute pressure at normal conditions (Pa)</t>
  </si>
  <si>
    <t>Methane (CH4)</t>
  </si>
  <si>
    <t>hourly basis or a smaller time interval</t>
  </si>
  <si>
    <t>Quantity of methane produced in the digester (QCH4,y) (Default Value)</t>
  </si>
  <si>
    <t>Does the anaerobic digester consumes electricity, such as for mixing, recirculation of digestate, or processing of feed material?</t>
  </si>
  <si>
    <t>Is the electricity consumed
generated on-site using biomass residues, wind, hydro or geothermal power?</t>
  </si>
  <si>
    <t>Do you want to use default values or monitored data to calculate the quantity of methane produced in the digester?</t>
  </si>
  <si>
    <t>Project emissions from electricity consumption (PEEC,y) (Monitored Data)</t>
  </si>
  <si>
    <t>Project emissions from electricity consumption (PEEC,y) (Default Value)</t>
  </si>
  <si>
    <t>Project emissions from fossil fuel consumption
(PEFC,y)</t>
  </si>
  <si>
    <t>Project emissions of methane from the anaerobic 
digester (PECH4,y)</t>
  </si>
  <si>
    <t>Project emissions from flaring of biogas (PEflare,y)</t>
  </si>
  <si>
    <r>
      <t>PP should answer</t>
    </r>
    <r>
      <rPr>
        <u/>
        <sz val="11"/>
        <color theme="1"/>
        <rFont val="Calibri"/>
        <family val="2"/>
        <scheme val="minor"/>
      </rPr>
      <t xml:space="preserve"> "Please select the digester that is being used in this project"</t>
    </r>
    <r>
      <rPr>
        <sz val="11"/>
        <color theme="1"/>
        <rFont val="Calibri"/>
        <family val="2"/>
        <scheme val="minor"/>
      </rPr>
      <t xml:space="preserve">. These are the options: </t>
    </r>
    <r>
      <rPr>
        <b/>
        <sz val="11"/>
        <color theme="1"/>
        <rFont val="Calibri"/>
        <family val="2"/>
        <scheme val="minor"/>
      </rPr>
      <t xml:space="preserve">Option A- </t>
    </r>
    <r>
      <rPr>
        <sz val="11"/>
        <color theme="1"/>
        <rFont val="Calibri"/>
        <family val="2"/>
        <scheme val="minor"/>
      </rPr>
      <t xml:space="preserve">Covered anaerobic lagoons (gravity fed) / conventional
digesters, </t>
    </r>
    <r>
      <rPr>
        <b/>
        <sz val="11"/>
        <color theme="1"/>
        <rFont val="Calibri"/>
        <family val="2"/>
        <scheme val="minor"/>
      </rPr>
      <t>Option B-</t>
    </r>
    <r>
      <rPr>
        <sz val="11"/>
        <color theme="1"/>
        <rFont val="Calibri"/>
        <family val="2"/>
        <scheme val="minor"/>
      </rPr>
      <t xml:space="preserve"> Upflow anaerobic sludge blanket reactor (UASB) / filter
bed reactor for wastewater / fluidized bed reactor, </t>
    </r>
    <r>
      <rPr>
        <b/>
        <sz val="11"/>
        <color theme="1"/>
        <rFont val="Calibri"/>
        <family val="2"/>
        <scheme val="minor"/>
      </rPr>
      <t>Option C-</t>
    </r>
    <r>
      <rPr>
        <sz val="11"/>
        <color theme="1"/>
        <rFont val="Calibri"/>
        <family val="2"/>
        <scheme val="minor"/>
      </rPr>
      <t xml:space="preserve"> Conventional digesters with continuously stirred tank reactor type for wastewater, </t>
    </r>
    <r>
      <rPr>
        <b/>
        <sz val="11"/>
        <color theme="1"/>
        <rFont val="Calibri"/>
        <family val="2"/>
        <scheme val="minor"/>
      </rPr>
      <t xml:space="preserve">Option D- </t>
    </r>
    <r>
      <rPr>
        <sz val="11"/>
        <color theme="1"/>
        <rFont val="Calibri"/>
        <family val="2"/>
        <scheme val="minor"/>
      </rPr>
      <t xml:space="preserve">Any anaerobic digester for solid waste with preprocessing of wastes (e.g. pulverizing), and </t>
    </r>
    <r>
      <rPr>
        <b/>
        <sz val="11"/>
        <color theme="1"/>
        <rFont val="Calibri"/>
        <family val="2"/>
        <scheme val="minor"/>
      </rPr>
      <t>Option E-</t>
    </r>
    <r>
      <rPr>
        <sz val="11"/>
        <color theme="1"/>
        <rFont val="Calibri"/>
        <family val="2"/>
        <scheme val="minor"/>
      </rPr>
      <t xml:space="preserve"> Any digesters other than those specified above, which are fed bygravity, and have no recirculation. </t>
    </r>
    <r>
      <rPr>
        <u/>
        <sz val="11"/>
        <color theme="1"/>
        <rFont val="Calibri"/>
        <family val="2"/>
        <scheme val="minor"/>
      </rPr>
      <t>Values are then auto-calulated based on response:</t>
    </r>
    <r>
      <rPr>
        <b/>
        <u/>
        <sz val="11"/>
        <color theme="1"/>
        <rFont val="Calibri"/>
        <family val="2"/>
        <scheme val="minor"/>
      </rPr>
      <t xml:space="preserve"> Option A</t>
    </r>
    <r>
      <rPr>
        <u/>
        <sz val="11"/>
        <color theme="1"/>
        <rFont val="Calibri"/>
        <family val="2"/>
        <scheme val="minor"/>
      </rPr>
      <t xml:space="preserve"> = 0, </t>
    </r>
    <r>
      <rPr>
        <b/>
        <u/>
        <sz val="11"/>
        <color theme="1"/>
        <rFont val="Calibri"/>
        <family val="2"/>
        <scheme val="minor"/>
      </rPr>
      <t xml:space="preserve">Option B </t>
    </r>
    <r>
      <rPr>
        <u/>
        <sz val="11"/>
        <color theme="1"/>
        <rFont val="Calibri"/>
        <family val="2"/>
        <scheme val="minor"/>
      </rPr>
      <t xml:space="preserve">= 0.01, </t>
    </r>
    <r>
      <rPr>
        <b/>
        <u/>
        <sz val="11"/>
        <color theme="1"/>
        <rFont val="Calibri"/>
        <family val="2"/>
        <scheme val="minor"/>
      </rPr>
      <t>Option C</t>
    </r>
    <r>
      <rPr>
        <u/>
        <sz val="11"/>
        <color theme="1"/>
        <rFont val="Calibri"/>
        <family val="2"/>
        <scheme val="minor"/>
      </rPr>
      <t xml:space="preserve"> = 1.02, </t>
    </r>
    <r>
      <rPr>
        <b/>
        <u/>
        <sz val="11"/>
        <color theme="1"/>
        <rFont val="Calibri"/>
        <family val="2"/>
        <scheme val="minor"/>
      </rPr>
      <t>Option D</t>
    </r>
    <r>
      <rPr>
        <u/>
        <sz val="11"/>
        <color theme="1"/>
        <rFont val="Calibri"/>
        <family val="2"/>
        <scheme val="minor"/>
      </rPr>
      <t xml:space="preserve"> = 1.54 and </t>
    </r>
    <r>
      <rPr>
        <b/>
        <u/>
        <sz val="11"/>
        <color theme="1"/>
        <rFont val="Calibri"/>
        <family val="2"/>
        <scheme val="minor"/>
      </rPr>
      <t>Option E</t>
    </r>
    <r>
      <rPr>
        <u/>
        <sz val="11"/>
        <color theme="1"/>
        <rFont val="Calibri"/>
        <family val="2"/>
        <scheme val="minor"/>
      </rPr>
      <t xml:space="preserve"> = 0 </t>
    </r>
  </si>
  <si>
    <r>
      <t xml:space="preserve">PP should answer </t>
    </r>
    <r>
      <rPr>
        <u/>
        <sz val="11"/>
        <color theme="1"/>
        <rFont val="Calibri"/>
        <family val="2"/>
        <scheme val="minor"/>
      </rPr>
      <t>"What type of digester is used in the project activity?"</t>
    </r>
    <r>
      <rPr>
        <sz val="11"/>
        <color theme="1"/>
        <rFont val="Calibri"/>
        <family val="2"/>
        <scheme val="minor"/>
      </rPr>
      <t xml:space="preserve"> by selecting from these options: </t>
    </r>
    <r>
      <rPr>
        <b/>
        <sz val="11"/>
        <color theme="1"/>
        <rFont val="Calibri"/>
        <family val="2"/>
        <scheme val="minor"/>
      </rPr>
      <t>Option A-</t>
    </r>
    <r>
      <rPr>
        <sz val="11"/>
        <color theme="1"/>
        <rFont val="Calibri"/>
        <family val="2"/>
        <scheme val="minor"/>
      </rPr>
      <t xml:space="preserve"> Digesters with steel or lined concrete or fiberglass
digesters and a gas holding system (egg shaped digesters) and
monolithic construction,  </t>
    </r>
    <r>
      <rPr>
        <b/>
        <sz val="11"/>
        <color theme="1"/>
        <rFont val="Calibri"/>
        <family val="2"/>
        <scheme val="minor"/>
      </rPr>
      <t xml:space="preserve">Option B- </t>
    </r>
    <r>
      <rPr>
        <sz val="11"/>
        <color theme="1"/>
        <rFont val="Calibri"/>
        <family val="2"/>
        <scheme val="minor"/>
      </rPr>
      <t>UASB type digesters, floating gas holders with no external
water seal,</t>
    </r>
    <r>
      <rPr>
        <b/>
        <sz val="11"/>
        <color theme="1"/>
        <rFont val="Calibri"/>
        <family val="2"/>
        <scheme val="minor"/>
      </rPr>
      <t xml:space="preserve"> Option C-</t>
    </r>
    <r>
      <rPr>
        <sz val="11"/>
        <color theme="1"/>
        <rFont val="Calibri"/>
        <family val="2"/>
        <scheme val="minor"/>
      </rPr>
      <t xml:space="preserve"> Digesters with unlined concrete/ferrocement/brick masonry
arched type gas holding section; monolithic fixed dome
digesters, covered anaerobic lagoon, or </t>
    </r>
    <r>
      <rPr>
        <b/>
        <sz val="11"/>
        <color theme="1"/>
        <rFont val="Calibri"/>
        <family val="2"/>
        <scheme val="minor"/>
      </rPr>
      <t>Option D-</t>
    </r>
    <r>
      <rPr>
        <sz val="11"/>
        <color theme="1"/>
        <rFont val="Calibri"/>
        <family val="2"/>
        <scheme val="minor"/>
      </rPr>
      <t xml:space="preserve"> other. </t>
    </r>
    <r>
      <rPr>
        <u/>
        <sz val="11"/>
        <color theme="1"/>
        <rFont val="Calibri"/>
        <family val="2"/>
        <scheme val="minor"/>
      </rPr>
      <t xml:space="preserve">Values are then auto-calculated based on response: </t>
    </r>
    <r>
      <rPr>
        <b/>
        <u/>
        <sz val="11"/>
        <color theme="1"/>
        <rFont val="Calibri"/>
        <family val="2"/>
        <scheme val="minor"/>
      </rPr>
      <t>Option A =</t>
    </r>
    <r>
      <rPr>
        <u/>
        <sz val="11"/>
        <color theme="1"/>
        <rFont val="Calibri"/>
        <family val="2"/>
        <scheme val="minor"/>
      </rPr>
      <t xml:space="preserve"> 0.028, </t>
    </r>
    <r>
      <rPr>
        <b/>
        <u/>
        <sz val="11"/>
        <color theme="1"/>
        <rFont val="Calibri"/>
        <family val="2"/>
        <scheme val="minor"/>
      </rPr>
      <t>Option B</t>
    </r>
    <r>
      <rPr>
        <u/>
        <sz val="11"/>
        <color theme="1"/>
        <rFont val="Calibri"/>
        <family val="2"/>
        <scheme val="minor"/>
      </rPr>
      <t xml:space="preserve"> = 0.05, </t>
    </r>
    <r>
      <rPr>
        <b/>
        <u/>
        <sz val="11"/>
        <color theme="1"/>
        <rFont val="Calibri"/>
        <family val="2"/>
        <scheme val="minor"/>
      </rPr>
      <t>Option C</t>
    </r>
    <r>
      <rPr>
        <u/>
        <sz val="11"/>
        <color theme="1"/>
        <rFont val="Calibri"/>
        <family val="2"/>
        <scheme val="minor"/>
      </rPr>
      <t xml:space="preserve"> = 0.10 and </t>
    </r>
    <r>
      <rPr>
        <b/>
        <u/>
        <sz val="11"/>
        <color theme="1"/>
        <rFont val="Calibri"/>
        <family val="2"/>
        <scheme val="minor"/>
      </rPr>
      <t>Option D</t>
    </r>
    <r>
      <rPr>
        <u/>
        <sz val="11"/>
        <color theme="1"/>
        <rFont val="Calibri"/>
        <family val="2"/>
        <scheme val="minor"/>
      </rPr>
      <t xml:space="preserve"> = 0.01</t>
    </r>
  </si>
  <si>
    <t>Determination of leakage emissions associated with storage of 
digestate (LEstorage,y) of project emissions from electricity consumption (PEEC,y)</t>
  </si>
  <si>
    <t>Is the digestate is stored under the following anaerobic
conditions?</t>
  </si>
  <si>
    <t>Do you want to use default values or monitored data to calculate leakage emissions associated with storage of digestate?</t>
  </si>
  <si>
    <t xml:space="preserve">Leakage emissions </t>
  </si>
  <si>
    <t>Leakage emissions associated with storage of 
liquid digestate (LEstorage,y) (Monitored Data)</t>
  </si>
  <si>
    <t>Leakage emissions associated with storage of 
liquid digestate (LEstorage,y) (Default Value)</t>
  </si>
  <si>
    <t>Leakage emissions associated with storage of 
solid digestate (LEstorage,y) (Default Values)</t>
  </si>
  <si>
    <t>Applicability</t>
  </si>
  <si>
    <t>Please select yes if the flaring of flammable greenhouse gases follows this statement: Methane is the component with the highest concentration in the flammable residual gas; and  the source of the residual gas is coal mine methane or a gas from a biogenic source (e.g. biogas, landfill gas or wastewater treatment gas).</t>
  </si>
  <si>
    <t xml:space="preserve">The PP can select Yes or No. If no is selected then they should get a message saying "This tool is not applicable for your project." </t>
  </si>
  <si>
    <t>Constants used in equations</t>
  </si>
  <si>
    <t>Molecular mass of methane</t>
  </si>
  <si>
    <t>Molecular mass of carbon monoxide</t>
  </si>
  <si>
    <t>Molecular mass of carbon dioxide</t>
  </si>
  <si>
    <t>Molecular mass of oxygen</t>
  </si>
  <si>
    <t>Molecular mass of hydrogen</t>
  </si>
  <si>
    <t>Molecular mass of nitrogen</t>
  </si>
  <si>
    <t>Atomic mass of carbon</t>
  </si>
  <si>
    <t>Atomic mass of hydrogen</t>
  </si>
  <si>
    <t>Atomic mass of oxygen</t>
  </si>
  <si>
    <t>Atomic mass of nitrogen</t>
  </si>
  <si>
    <t>Atmospheric pressure at normal conditions</t>
  </si>
  <si>
    <t>Universal ideal gas constant</t>
  </si>
  <si>
    <t>Temperature at normal conditions</t>
  </si>
  <si>
    <t>O2 volumetric fraction of air</t>
  </si>
  <si>
    <t>Global warming potential of methane</t>
  </si>
  <si>
    <t>Volume of one mole of any ideal gas at normal temperature and pressure</t>
  </si>
  <si>
    <t>Density of methane gas at normal conditions</t>
  </si>
  <si>
    <t>Number of atoms of element j in component i, depending on molecular structure</t>
  </si>
  <si>
    <t>Number of atoms of element C in component CH4</t>
  </si>
  <si>
    <t>Number of atoms of element C in component CO</t>
  </si>
  <si>
    <t>Number of atoms of element C in component CO2</t>
  </si>
  <si>
    <t>Number of atoms of element H in component CH4</t>
  </si>
  <si>
    <t>Number of atoms of element H in component H2</t>
  </si>
  <si>
    <t>Number of atoms of element O in component CO</t>
  </si>
  <si>
    <t>Number of atoms of element O in component CO2</t>
  </si>
  <si>
    <t>Number of atoms of element O in component O2</t>
  </si>
  <si>
    <t>Number of atoms of element N in component N2</t>
  </si>
  <si>
    <t>Parameter</t>
  </si>
  <si>
    <t>NA C,CH4</t>
  </si>
  <si>
    <t>NA C,CO</t>
  </si>
  <si>
    <t>NA C,CO2</t>
  </si>
  <si>
    <t>NA H,CH4</t>
  </si>
  <si>
    <t>NA H,H2</t>
  </si>
  <si>
    <t>NA O,CO</t>
  </si>
  <si>
    <t>NA O,CO2</t>
  </si>
  <si>
    <t>NA O,O2</t>
  </si>
  <si>
    <t>NA N,N2</t>
  </si>
  <si>
    <t>MMCH4</t>
  </si>
  <si>
    <t>MMCO</t>
  </si>
  <si>
    <t>MMCO2</t>
  </si>
  <si>
    <t>MMO2</t>
  </si>
  <si>
    <t>MMH2</t>
  </si>
  <si>
    <t>MMN2</t>
  </si>
  <si>
    <t>AMc</t>
  </si>
  <si>
    <t>AMh</t>
  </si>
  <si>
    <t>AMo</t>
  </si>
  <si>
    <t>AMn</t>
  </si>
  <si>
    <t>Pn</t>
  </si>
  <si>
    <t>Ru</t>
  </si>
  <si>
    <t>Tn</t>
  </si>
  <si>
    <t>MFO2</t>
  </si>
  <si>
    <t>GWPCH4</t>
  </si>
  <si>
    <t>MVn</t>
  </si>
  <si>
    <t>ρ CH4, n</t>
  </si>
  <si>
    <t>NAi,j</t>
  </si>
  <si>
    <t>-</t>
  </si>
  <si>
    <t>Input Data</t>
  </si>
  <si>
    <t xml:space="preserve">Volumetric fraction of CH4 in residual gas </t>
  </si>
  <si>
    <t xml:space="preserve">Volumetric fraction of CO in residual gas </t>
  </si>
  <si>
    <t xml:space="preserve">Volumetric fraction of CO2 in residual gas </t>
  </si>
  <si>
    <t xml:space="preserve">Volumetric fraction of O2 in residual gas </t>
  </si>
  <si>
    <t xml:space="preserve">Volumetric fraction of H2 in residual gas </t>
  </si>
  <si>
    <t xml:space="preserve">Volumetric fraction of N2 in residual gas </t>
  </si>
  <si>
    <t>Volumetric flow of residual gas at normal conditions</t>
  </si>
  <si>
    <t>O2 volumetric fraction of flare exhaust gas</t>
  </si>
  <si>
    <t>Methane volumetric fraction or concentration of flare exhaust gas</t>
  </si>
  <si>
    <t>Flare operational hours in the year</t>
  </si>
  <si>
    <t>VRG,m</t>
  </si>
  <si>
    <t>vO2,EG,m</t>
  </si>
  <si>
    <t>fcCH4,EG,m</t>
  </si>
  <si>
    <t>FOP</t>
  </si>
  <si>
    <t>Determination of the methane mass flow in the residual gas</t>
  </si>
  <si>
    <t>MRG,m</t>
  </si>
  <si>
    <t>PRG,ref,m</t>
  </si>
  <si>
    <t xml:space="preserve">VRG,m </t>
  </si>
  <si>
    <t>vi,RG,m,CH4</t>
  </si>
  <si>
    <t>vi,RG,m,CO</t>
  </si>
  <si>
    <t>vi,RG,m,CO2</t>
  </si>
  <si>
    <t>vi,RG,m,O2</t>
  </si>
  <si>
    <t>vi,RG,m,H2</t>
  </si>
  <si>
    <t>vi,RG,m,N2</t>
  </si>
  <si>
    <t>Pref</t>
  </si>
  <si>
    <t xml:space="preserve">MMRG,m </t>
  </si>
  <si>
    <t>Mass flow of the residual gas on a dry basis at reference conditions in the minute m (kg)</t>
  </si>
  <si>
    <t>Density of the residual gas at reference conditions in the minute m (kg/m3 )</t>
  </si>
  <si>
    <t>Volumetric flow of the residual gas on a dry basis at reference conditions in the minute m (m3 )</t>
  </si>
  <si>
    <t>Atmospheric pressure at reference conditions (Pa)</t>
  </si>
  <si>
    <t>Molecular mass of the residual gas in the minute m (kg/kmol)</t>
  </si>
  <si>
    <t>Determination of methane mass flow rate in the residual gas on a dry basis</t>
  </si>
  <si>
    <t>Fi,t</t>
  </si>
  <si>
    <t>Mass flow of greenhouse gas I in the gaseous stream in time interval t (kg gas/h)</t>
  </si>
  <si>
    <t>Determination of flare efficiency</t>
  </si>
  <si>
    <t>nflare,calc,m</t>
  </si>
  <si>
    <t>Determination of methane mass flow rate in the exhaust gas on a dry basis of flare efficiency</t>
  </si>
  <si>
    <t>FCH4,EG,m</t>
  </si>
  <si>
    <t>Mass flow of methane in the exhaust gas of the flare on a dry basis at reference conditions in the minute m (kg)</t>
  </si>
  <si>
    <t>Determination of the volumetric flow rate of the exhaust gas</t>
  </si>
  <si>
    <t>VEG,m</t>
  </si>
  <si>
    <t xml:space="preserve">QEG,m </t>
  </si>
  <si>
    <t>QO2,EG,m</t>
  </si>
  <si>
    <t xml:space="preserve">QN2,EG,m </t>
  </si>
  <si>
    <t>QCO2,EG,m</t>
  </si>
  <si>
    <t xml:space="preserve">NO2,EG,m </t>
  </si>
  <si>
    <t>FO2,RG,m</t>
  </si>
  <si>
    <t xml:space="preserve">Determination of the mass fraction of carbon, hydrogen, oxygen and nitrogen in the residual gas </t>
  </si>
  <si>
    <t xml:space="preserve">MFC,RG,m </t>
  </si>
  <si>
    <t>MFH2,RG,m</t>
  </si>
  <si>
    <t>MFO2,RG,m</t>
  </si>
  <si>
    <t xml:space="preserve">MFN2,RG,m </t>
  </si>
  <si>
    <t>Flare efficiency in the minute m (Percent)</t>
  </si>
  <si>
    <t>Calculation of project yearly emissions from flaring</t>
  </si>
  <si>
    <t xml:space="preserve">PEflare,y </t>
  </si>
  <si>
    <t>Volumetric flow of the exhaust gas on a dry basis at reference conditions in the minute m (m3 )</t>
  </si>
  <si>
    <t>Volume of the exhaust gas on a dry basis per kg of residual gas on a dry basis at reference conditions in the minute m (m3 /kg residual gas)</t>
  </si>
  <si>
    <t>O2 volume in the exhaust gas per kg of residual gas on a dry basis at reference conditions in the minute m (m3 /kg residual gas)</t>
  </si>
  <si>
    <t>N2 (volume) in the exhaust gas per kg of residual gas on a dry basis at reference conditions in the minute m (m3 /kg residual gas)</t>
  </si>
  <si>
    <t>CO2 volume in the exhaust gas per kg of residual gas on a dry basis at reference conditions in the minute m (m3 /kg residual gas)</t>
  </si>
  <si>
    <t>O2 (moles) in the exhaust gas per kg of residual gas flared on a dry basis at reference conditions in the minute m (kmol/kg residual gas)</t>
  </si>
  <si>
    <t>Stochiometric quantity of moles of O2 required for a complete oxidation of one kg residual gas in the minute m (kmol/kg residual gas)</t>
  </si>
  <si>
    <t>Mass fraction of element hydrogen in the residual gas in the minute m</t>
  </si>
  <si>
    <t>Mass fraction of element carbon in the residual gas in the minute m</t>
  </si>
  <si>
    <t>Mass fraction of element oxygen in the residual gas in the minute m</t>
  </si>
  <si>
    <t>Mass fraction of element nitrogen in the residual gas in the minute m</t>
  </si>
  <si>
    <t>Project emissions from flaring of the residual gas in year y (tCO2e)</t>
  </si>
  <si>
    <t>If PP selects "large scale" they will use option one calculation using monitored data if they select "small scale" the follow up with question in D4.</t>
  </si>
  <si>
    <t xml:space="preserve">If no then no calculation is needed for "Project emissions from electricity consumption associated with the anaerobic digester", if yes then follow up with question in D7. </t>
  </si>
  <si>
    <t xml:space="preserve">If yes then  "Project emissions from electricity consumption associated with the anaerobic digester" is equal to 0, if no then follow up with question in D8. </t>
  </si>
  <si>
    <t>Enum</t>
  </si>
  <si>
    <t>Auto-Calculate</t>
  </si>
  <si>
    <t xml:space="preserve">mH2O,t,db,Sat </t>
  </si>
  <si>
    <t>Saturation absolute humidity in time interval t on a dry basis (kg H2O/kg dry gas)</t>
  </si>
  <si>
    <t>Saturation pressure of H2O at temperature Tt in time interval t (Pa)</t>
  </si>
  <si>
    <t xml:space="preserve">pH2O,t,Sat </t>
  </si>
  <si>
    <t>Temperature of the gaseous stream in time interval t (K)</t>
  </si>
  <si>
    <t xml:space="preserve">Tt </t>
  </si>
  <si>
    <t xml:space="preserve">Pt </t>
  </si>
  <si>
    <t>Absolute pressure of the gaseous stream in time interval t (Pa)</t>
  </si>
  <si>
    <t>Molecular mass of H2O (kg H2O/kmol H2O)</t>
  </si>
  <si>
    <t xml:space="preserve">MMH2O </t>
  </si>
  <si>
    <t>Molecular mass of the gaseous stream in a time interval t on a dry basis (kg dry gas/kmol dry gas)</t>
  </si>
  <si>
    <t xml:space="preserve">MMt,db </t>
  </si>
  <si>
    <t>Molecular mass of gas k (kg/kmol)</t>
  </si>
  <si>
    <t xml:space="preserve">MMk </t>
  </si>
  <si>
    <t>All gases, except H2O, contained in the gaseous stream</t>
  </si>
  <si>
    <t xml:space="preserve">k </t>
  </si>
  <si>
    <t xml:space="preserve">Vt,wb, n </t>
  </si>
  <si>
    <t>Volumetric flow of the gaseous stream in time interval t on a wet basis at normal conditions (m³ wet gas/h)</t>
  </si>
  <si>
    <t>Mass flow of greenhouse gas i in the gaseous stream in time interval t (kg gas/h)</t>
  </si>
  <si>
    <t>Volumetric fraction of gas k in the gaseous stream in time interval t on a dry basis (m³ gas k/m³ dry gas)</t>
  </si>
  <si>
    <t xml:space="preserve">vk,t,db </t>
  </si>
  <si>
    <t xml:space="preserve">vi,t,wb </t>
  </si>
  <si>
    <t>Volumetric fraction of greenhouse gas i in the gaseous stream in time interval t on a wet basis (m³ gas i/m³ wet gas)</t>
  </si>
  <si>
    <t xml:space="preserve">Density of greenhouse gas i in the gaseous stream at normal conditions
(kg gas i/m³ wet gas i) </t>
  </si>
  <si>
    <t xml:space="preserve">pi,n </t>
  </si>
  <si>
    <t>Temperature at normal conditions (K)</t>
  </si>
  <si>
    <t xml:space="preserve">Tn </t>
  </si>
  <si>
    <t>Molecular mass of greenhouse gas i (kg/kmol)</t>
  </si>
  <si>
    <t xml:space="preserve">MMi </t>
  </si>
  <si>
    <t>Universal ideal gases constant (Pa.m3 /kmol.K)</t>
  </si>
  <si>
    <t xml:space="preserve">Ru </t>
  </si>
  <si>
    <t>Mass flow of the gaseous stream in time interval t on a wet basis (kg/h</t>
  </si>
  <si>
    <t xml:space="preserve">Mt,wb </t>
  </si>
  <si>
    <t>Density of the gaseous stream in time interval t on a wet basis at normal conditions (kg wet gas/m3 wet gas)</t>
  </si>
  <si>
    <t xml:space="preserve">Pt,wb,n </t>
  </si>
  <si>
    <t>Molecular mass of the gaseous stream in time interval t on a wet basis
(kg wet gas/kmol wet gas)</t>
  </si>
  <si>
    <t xml:space="preserve">MMt,wb </t>
  </si>
  <si>
    <t>Volumetric fraction of gas k in the gaseous stream in time interval t on a wet basis (m³ gas k/m³ wet gas)</t>
  </si>
  <si>
    <t xml:space="preserve">Vk,t,wb </t>
  </si>
  <si>
    <t xml:space="preserve">t </t>
  </si>
  <si>
    <t>Quantity of methane produced in the digester in year y (t CH4)</t>
  </si>
  <si>
    <t xml:space="preserve">QCH4,y </t>
  </si>
  <si>
    <t>Amount of biogas collected at the digester outlet in year y (Nm3 biogas)</t>
  </si>
  <si>
    <t xml:space="preserve">Qbiogas,y </t>
  </si>
  <si>
    <t>Default value for the fraction of methane in the biogas (m3 CH4 / m3 biogas)</t>
  </si>
  <si>
    <t xml:space="preserve">fCH4,default </t>
  </si>
  <si>
    <t>Density of methane at normal conditions (t CH4 / Nm3 CH4)</t>
  </si>
  <si>
    <t>PCH4</t>
  </si>
  <si>
    <t>Project emissions from electricity consumption associated with the anaerobic digester in year y (t CO2)</t>
  </si>
  <si>
    <t>PEEC,y</t>
  </si>
  <si>
    <t>Quantity of methane produced in the anaerobic digester in year y (t CH4)</t>
  </si>
  <si>
    <t>Default factor for the electricity consumption associated with the anaerobic digester per ton of methane generated (MWh / t CH4)</t>
  </si>
  <si>
    <t xml:space="preserve">FEC,default </t>
  </si>
  <si>
    <t>Default emission factor for the electricity consumed in year y (t CO2 / MWh)</t>
  </si>
  <si>
    <t xml:space="preserve">EFEL,default </t>
  </si>
  <si>
    <t xml:space="preserve">PECH4,y </t>
  </si>
  <si>
    <t>Default emission factor for the fraction of CH4 produced that leaks from the anaerobic digester (fraction)</t>
  </si>
  <si>
    <t xml:space="preserve">EFCH4,default </t>
  </si>
  <si>
    <t>Global warming potential of CH4 (t CO2 / t CH4)</t>
  </si>
  <si>
    <t xml:space="preserve">GWPCH4 </t>
  </si>
  <si>
    <t>Leakage emissions associated with the anaerobic digester in year y (t CO2e)</t>
  </si>
  <si>
    <t xml:space="preserve">LEAD,y </t>
  </si>
  <si>
    <t>Leakage emissions associated with storage of digestate in year y (t CO2e)</t>
  </si>
  <si>
    <t xml:space="preserve">LEstorage,y </t>
  </si>
  <si>
    <t>Leakage emissions associated with composting digestate in year y (t CO2e)</t>
  </si>
  <si>
    <t xml:space="preserve">LEcomp,y </t>
  </si>
  <si>
    <t>Amount of liquid digestate stored anaerobically in year y (m3 )</t>
  </si>
  <si>
    <t xml:space="preserve">Qstored,y </t>
  </si>
  <si>
    <t>Average chemical oxygen demand (COD) of the liquid digestate in year y (t COD / m3 )</t>
  </si>
  <si>
    <t xml:space="preserve">PCOD,y </t>
  </si>
  <si>
    <t>Maximum methane producing capacity of the COD applied (t CH4 / t COD)</t>
  </si>
  <si>
    <t xml:space="preserve">B0 </t>
  </si>
  <si>
    <t xml:space="preserve">MCF </t>
  </si>
  <si>
    <t>Default factor representing the remaining methane production capacity of liquid digestate (fraction)</t>
  </si>
  <si>
    <t xml:space="preserve">Fww,CH4,default </t>
  </si>
  <si>
    <t>Default factor for the methane generation capacity of solid digestate (fraction)</t>
  </si>
  <si>
    <t xml:space="preserve">FSD,CH4,default </t>
  </si>
  <si>
    <t>Global warming potential of CH4 (t CO2/t CH4)</t>
  </si>
  <si>
    <t>Generic approach</t>
  </si>
  <si>
    <t>Project emissions from electricity consumption in year y (t CO2 / yr)</t>
  </si>
  <si>
    <t>Baseline emissions from electricity consumption in year y (t CO2 / yr)</t>
  </si>
  <si>
    <t>Leakage emissions from electricity consumption in year y (t CO2 / yr)</t>
  </si>
  <si>
    <t>Sources of electricity consumption in the project</t>
  </si>
  <si>
    <t>Sources of electricity consumption in the baseline</t>
  </si>
  <si>
    <t>Leakage sources of electricity consumption</t>
  </si>
  <si>
    <t>𝑃𝐸𝐸𝐶,y</t>
  </si>
  <si>
    <t>𝐵𝐸𝐸𝐶,y</t>
  </si>
  <si>
    <t>𝐿𝐸𝐸𝐶,y</t>
  </si>
  <si>
    <t>𝐸𝐶𝑃𝐽,𝑗,y</t>
  </si>
  <si>
    <t>𝐸𝐶𝐵𝐿,𝑘,y</t>
  </si>
  <si>
    <t>𝐸𝐶𝐿𝐸,𝑙,y</t>
  </si>
  <si>
    <t>𝐸𝐹𝐸𝐹,𝑗,y</t>
  </si>
  <si>
    <t>𝐸𝐹𝐸𝐹,𝑘,y</t>
  </si>
  <si>
    <t>𝐸𝐹𝐸𝐹,𝑙,y</t>
  </si>
  <si>
    <t>𝑇𝐷𝐿𝑗,y</t>
  </si>
  <si>
    <t>𝑇𝐷𝐿𝑘,y</t>
  </si>
  <si>
    <t>𝑇𝐷𝐿𝑙,y</t>
  </si>
  <si>
    <t>j</t>
  </si>
  <si>
    <t>k</t>
  </si>
  <si>
    <t>l</t>
  </si>
  <si>
    <t>If emissions are calculated for electricity consumption, then tool 05 is only applicable if one out of the following three scenarios applies to the sources of electricity consumption, please select the appropriate one for your project:</t>
  </si>
  <si>
    <r>
      <rPr>
        <b/>
        <sz val="11"/>
        <color theme="1"/>
        <rFont val="Calibri"/>
        <family val="2"/>
        <scheme val="minor"/>
      </rPr>
      <t xml:space="preserve">Scenario A: </t>
    </r>
    <r>
      <rPr>
        <sz val="11"/>
        <color theme="1"/>
        <rFont val="Calibri"/>
        <family val="2"/>
        <scheme val="minor"/>
      </rPr>
      <t xml:space="preserve">Electricity consumption from the grid. The electricity is purchased
from the grid only, and either no captive power plant(s) is/are installed at the site
of electricity consumption or, if any captive power plant exists on site, it is either
not operating or it is not physically able to provide electricity to the electricity
consumer. </t>
    </r>
    <r>
      <rPr>
        <b/>
        <sz val="11"/>
        <color theme="1"/>
        <rFont val="Calibri"/>
        <family val="2"/>
        <scheme val="minor"/>
      </rPr>
      <t xml:space="preserve">Scenario B: </t>
    </r>
    <r>
      <rPr>
        <sz val="11"/>
        <color theme="1"/>
        <rFont val="Calibri"/>
        <family val="2"/>
        <scheme val="minor"/>
      </rPr>
      <t xml:space="preserve">Electricity consumption from (an) off-grid fossil fuel fired captive
power plant(s). One or more fossil fuel fired captive power plants are installed at
the site of the electricity consumer and supply the consumer with electricity. The
captive power plant(s) is/are not connected to the electricity grid. </t>
    </r>
    <r>
      <rPr>
        <b/>
        <sz val="11"/>
        <color theme="1"/>
        <rFont val="Calibri"/>
        <family val="2"/>
        <scheme val="minor"/>
      </rPr>
      <t>Scenario C:</t>
    </r>
    <r>
      <rPr>
        <sz val="11"/>
        <color theme="1"/>
        <rFont val="Calibri"/>
        <family val="2"/>
        <scheme val="minor"/>
      </rPr>
      <t xml:space="preserve"> Electricity consumption from the grid and (a) fossil fuel fired captive power plant(s). One or more fossil fuel fired captive power plants operate at the site of the electricity consumer. The captive power plant(s) can provide electricity to the electricity consumer. The captive power plant(s) is/are also connected to the electricity grid. Hence, the electricity consumer can be provided with electricity from the captive power plant(s) and the grid.</t>
    </r>
  </si>
  <si>
    <t>𝐸𝐹𝐸𝐿,𝑗/𝑘/𝑙,𝑦</t>
  </si>
  <si>
    <t xml:space="preserve">𝐹𝐶𝑛,𝑖,𝑡 </t>
  </si>
  <si>
    <t>𝑁𝐶𝑉𝑖,𝑡</t>
  </si>
  <si>
    <t>𝐸𝐹𝐶𝑂2,𝑖,t</t>
  </si>
  <si>
    <t>𝐸𝐺𝑛,t</t>
  </si>
  <si>
    <t>[Click to Add Fossil Fuel Captive Power Plant]</t>
  </si>
  <si>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</si>
  <si>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</si>
  <si>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</si>
  <si>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</si>
  <si>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</si>
  <si>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</si>
  <si>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</si>
  <si>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</si>
  <si>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</si>
  <si>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</si>
  <si>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</si>
  <si>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</si>
  <si>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</si>
  <si>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</si>
  <si>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</si>
  <si>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</si>
  <si>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</si>
  <si>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</si>
  <si>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</si>
  <si>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t>Refinery Gas</t>
  </si>
  <si>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</si>
  <si>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</si>
  <si>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</si>
  <si>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</si>
  <si>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</si>
  <si>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</si>
  <si>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</si>
  <si>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</si>
  <si>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</si>
  <si>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</si>
  <si>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</si>
  <si>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</si>
  <si>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</si>
  <si>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</si>
  <si>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</si>
  <si>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</si>
  <si>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 xml:space="preserve">Blast Furnace Gas </t>
  </si>
  <si>
    <t>Oxygen Steel Furnace Gas</t>
  </si>
  <si>
    <t>Natural Gas</t>
  </si>
  <si>
    <t>Municipal Wastes (non-biomass fraction)</t>
  </si>
  <si>
    <t>Industrial Wastes</t>
  </si>
  <si>
    <t>Waste Oil</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</si>
  <si>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</si>
  <si>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</si>
  <si>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</si>
  <si>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</si>
  <si>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</si>
  <si>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</si>
  <si>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</si>
  <si>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</si>
  <si>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</si>
  <si>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</si>
  <si>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</si>
  <si>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</si>
  <si>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Default Net Calorific Values (NCVs)</t>
  </si>
  <si>
    <t>Net Calorific Value (TJ/Gg)</t>
  </si>
  <si>
    <t>Default CO2 Emission Factors for Combustion (EFCO2)</t>
  </si>
  <si>
    <t>Type of fossil fuel used</t>
  </si>
  <si>
    <t>Select one</t>
  </si>
  <si>
    <t>see options in "Tool 05 Fuel type emission fact" sheet</t>
  </si>
  <si>
    <t>Average net calorific value of the fossil fuel type used in the period t (GJ / mass or volume unit)</t>
  </si>
  <si>
    <t>Average CO2 emission factor of the fossil fuel type used in the period t (t CO2 / GJ)</t>
  </si>
  <si>
    <t>Quantity of electricity generated in captive the power plant in the time period decribed in the projet details (MWh)</t>
  </si>
  <si>
    <t>Auto-calculate</t>
  </si>
  <si>
    <t>Number</t>
  </si>
  <si>
    <t xml:space="preserve">Plant Name </t>
  </si>
  <si>
    <t>Plant 1</t>
  </si>
  <si>
    <t>Plant 2</t>
  </si>
  <si>
    <t>Scenario A: Electricity consumption from the grid (Default Values)</t>
  </si>
  <si>
    <t>Effective CO2 Emission Factor (kg/TJ)</t>
  </si>
  <si>
    <t>Quantity of fossil fuel fired in the captive power plant in the time period described in the project details (cubric meters, metric ton, or liters)</t>
  </si>
  <si>
    <t>Scenario B1: Electricity consumption from an off-grid captive power plant</t>
  </si>
  <si>
    <t>ηboiler,y</t>
  </si>
  <si>
    <t>Efficiency of the boiler in which heat is assumed to be generated in the absence of a cogeneration plant in baseline scenario</t>
  </si>
  <si>
    <t>Efficiency of the boiler in which heat is assumed to be generated in the absence of a cogeneration plant in project/leakage scenario</t>
  </si>
  <si>
    <t>Emission factor for electricity generation for source j, k or l in year y (fuel consumption between electricity and heat generation) (t CO2/MWh)</t>
  </si>
  <si>
    <t>Emission factor for electricity generation for source j, k or l in year y (where the heat
generation is ignored (t CO2/MWh)</t>
  </si>
  <si>
    <t>Quantity of heat co-generated in captive power plant n in the time period t (GJ). (Only applicable if the CO2 emission factor for electricity generation is calculated by allocating
the fuel consumption between electricity and heat generation)</t>
  </si>
  <si>
    <t>𝐻𝐺𝑛,t</t>
  </si>
  <si>
    <t>Scenario B2:  Electricity consumption from an off-grid captive power plant (Conservative Default Values)</t>
  </si>
  <si>
    <t>Electricity consumption from the grid for project and leakage scenario calculations (CO2/MWh)</t>
  </si>
  <si>
    <t>Electricity consumption from the grid for baseline scenario calculations (CO2/MWh)</t>
  </si>
  <si>
    <r>
      <rPr>
        <b/>
        <sz val="11"/>
        <color theme="1"/>
        <rFont val="Calibri"/>
        <family val="2"/>
        <scheme val="minor"/>
      </rPr>
      <t xml:space="preserve">Case 1: </t>
    </r>
    <r>
      <rPr>
        <sz val="11"/>
        <color theme="1"/>
        <rFont val="Calibri"/>
        <family val="2"/>
        <scheme val="minor"/>
      </rPr>
      <t xml:space="preserve">Grid electricity. The implementation of the project activity only
affects the quantity of electricity that is supplied from the grid and not the operation
of the captive power plant. </t>
    </r>
    <r>
      <rPr>
        <b/>
        <sz val="11"/>
        <color theme="1"/>
        <rFont val="Calibri"/>
        <family val="2"/>
        <scheme val="minor"/>
      </rPr>
      <t xml:space="preserve">Case 2: </t>
    </r>
    <r>
      <rPr>
        <sz val="11"/>
        <color theme="1"/>
        <rFont val="Calibri"/>
        <family val="2"/>
        <scheme val="minor"/>
      </rPr>
      <t xml:space="preserve">Electricity from captive power plant(s). The implementation of the project activity is clearly demonstrated to only affect the quantity of electricity that is generated in the captive power plant(s) and does not affect the quantity of electricity supplied from the grid. </t>
    </r>
    <r>
      <rPr>
        <b/>
        <sz val="11"/>
        <color theme="1"/>
        <rFont val="Calibri"/>
        <family val="2"/>
        <scheme val="minor"/>
      </rPr>
      <t xml:space="preserve">Case 3: </t>
    </r>
    <r>
      <rPr>
        <sz val="11"/>
        <color theme="1"/>
        <rFont val="Calibri"/>
        <family val="2"/>
        <scheme val="minor"/>
      </rPr>
      <t>Electricity from both the grid and captive power plant(s). The implementation of the project activity may affect both the quantity of electricity that is generated in the captive power plant(s) and the quantity of electricity supplied from the grid.</t>
    </r>
  </si>
  <si>
    <t xml:space="preserve">Scanario C: Electricity consumption from the grid and fossil fuel fired captive power plant(s). Please select the appropriate option for your project: </t>
  </si>
  <si>
    <t>`</t>
  </si>
  <si>
    <t>Alternative approaches for project and/or leakage emissions</t>
  </si>
  <si>
    <t>Project emissions from electricity consumption by source(s) j in year y (t CO2 / yr)</t>
  </si>
  <si>
    <t>Leakage emissions from electricity consumption by source(s) l in year y (t CO2 / yr)</t>
  </si>
  <si>
    <t>Average animal weight of a defined livestock population at the project site (kg)</t>
  </si>
  <si>
    <t>Default average animal weight of a defined population, this data is sourced from IPCC 2006 (kg)</t>
  </si>
  <si>
    <t>Default value for the volatile solid excretion rate per day on a dry-matter basis for a defined livestock population (kg-dm/animal/day)</t>
  </si>
  <si>
    <t>𝑉𝑆𝑑𝑒𝑓𝑎𝑢𝑙t</t>
  </si>
  <si>
    <t>𝑊𝑑𝑒𝑓𝑎𝑢𝑙t</t>
  </si>
  <si>
    <t>𝑊𝑠𝑖𝑡e</t>
  </si>
  <si>
    <t>Fraction of manure handled in system i in year y</t>
  </si>
  <si>
    <t>𝑀𝑆%𝑖,y</t>
  </si>
  <si>
    <t>𝑄𝑚𝑎𝑛𝑢𝑟𝑒,𝐿𝑇,𝑦</t>
  </si>
  <si>
    <t>𝐵0,𝐿T</t>
  </si>
  <si>
    <t>𝑆𝑉𝑆𝐿𝑇,y</t>
  </si>
  <si>
    <t>Maximum methane producing potential of the volatile solid generated for animal type LT (m3 CH4/kg-dm)</t>
  </si>
  <si>
    <t>Quantity of manure treated from livestock type LT and animal manure management system j (tonnes/year, dry basis)</t>
  </si>
  <si>
    <t>Specific volatile solids content of animal manure from livestock type LT and animal manure management system j in year y (tonnes/tonnes, dry basis)</t>
  </si>
  <si>
    <t xml:space="preserve">NLT,y </t>
  </si>
  <si>
    <t>Annual average number of animals of type LT in year y (numbers)</t>
  </si>
  <si>
    <t>PEAD,y</t>
  </si>
  <si>
    <t>PEFC,y</t>
  </si>
  <si>
    <t>PECH4,y</t>
  </si>
  <si>
    <t>PEflare,y</t>
  </si>
  <si>
    <t>Are the CO2 emissions from fossil fuel combustion in process j during the year y (tCO2/yr)</t>
  </si>
  <si>
    <t>Is the quantity of fuel type i combusted in process j during the year y (mass or volume unit/yr)</t>
  </si>
  <si>
    <t>Is the CO2 emission coefficient of fuel type i in year y (tCO2/mass or volume unit)</t>
  </si>
  <si>
    <t>𝑃𝐸𝐹𝐶,𝑗,y</t>
  </si>
  <si>
    <t>𝐹𝐶𝑖,𝑗,y</t>
  </si>
  <si>
    <t>𝐶𝑂𝐸𝐹𝑖,𝑦</t>
  </si>
  <si>
    <t>Is the CO2 emission coefficient of fuel type i in year y (tCO2/mass or volume unit) (Mass Unit)</t>
  </si>
  <si>
    <t>Is the CO2 emission coefficient of fuel type i in year y (tCO2/mass or volume unit) (Volume Unit)</t>
  </si>
  <si>
    <t>Is the weighted average mass fraction of carbon in fuel type i in year y (tC/mass unit of the fuel)</t>
  </si>
  <si>
    <t>Is the weighted average density of fuel type i in year y (mass unit/volume unit of the fuel)</t>
  </si>
  <si>
    <t>𝑤c,𝑖,𝑦</t>
  </si>
  <si>
    <t>𝜌𝑖,𝑦</t>
  </si>
  <si>
    <t>𝑖</t>
  </si>
  <si>
    <t>Is the weighted average net calorific value of the fuel type i in year y (GJ/mass or volume unit)</t>
  </si>
  <si>
    <t>Is the weighted average CO2 emission factor of fuel type i in year y (tCO2/GJ)</t>
  </si>
  <si>
    <t>𝑁𝐶𝑉𝑖,y</t>
  </si>
  <si>
    <t>𝐸𝐹𝐶𝑂2,𝑖,𝑦</t>
  </si>
  <si>
    <r>
      <t>The CO2 emission coefficient COEFi,</t>
    </r>
    <r>
      <rPr>
        <i/>
        <sz val="14"/>
        <color rgb="FF000000"/>
        <rFont val="Calibri"/>
        <family val="2"/>
        <scheme val="minor"/>
      </rPr>
      <t xml:space="preserve">y </t>
    </r>
    <r>
      <rPr>
        <b/>
        <sz val="14"/>
        <color rgb="FF000000"/>
        <rFont val="Calibri"/>
        <family val="2"/>
        <scheme val="minor"/>
      </rPr>
      <t>Option A</t>
    </r>
  </si>
  <si>
    <t>The CO2 emission coefficient COEFi,y Option B</t>
  </si>
  <si>
    <t>[ Click to add project or leakage CO2 
emissions from fossil fuel combustion based on fuel type]</t>
  </si>
  <si>
    <t>What fuel types are combusted in the project activity process?</t>
  </si>
  <si>
    <t>Is the fuel used measused in a mass or volume unit?</t>
  </si>
  <si>
    <t xml:space="preserve">What approach would you like to use to calculate the CO2 emission coefficient? </t>
  </si>
  <si>
    <r>
      <rPr>
        <b/>
        <u/>
        <sz val="11"/>
        <color theme="1"/>
        <rFont val="Calibri"/>
        <family val="2"/>
        <scheme val="minor"/>
      </rPr>
      <t>Option A:</t>
    </r>
    <r>
      <rPr>
        <sz val="11"/>
        <color theme="1"/>
        <rFont val="Calibri"/>
        <family val="2"/>
        <scheme val="minor"/>
      </rPr>
      <t xml:space="preserve"> The CO2 emission coefficient is calculated based on the chemical composition of the fossil fuel type. </t>
    </r>
    <r>
      <rPr>
        <b/>
        <u/>
        <sz val="11"/>
        <color theme="1"/>
        <rFont val="Calibri"/>
        <family val="2"/>
        <scheme val="minor"/>
      </rPr>
      <t>Option B:</t>
    </r>
    <r>
      <rPr>
        <sz val="11"/>
        <color theme="1"/>
        <rFont val="Calibri"/>
        <family val="2"/>
        <scheme val="minor"/>
      </rPr>
      <t xml:space="preserve"> The CO2 emission coefficient is calculated based on net calorific value and CO2 emission factor of the fuel type. Option A should be the preferred approach, if the necessary data is available.  (If Option A is selected then use Option A schema, if Option B is selected then use Option B schema)</t>
    </r>
  </si>
  <si>
    <t>Auto-Calculated</t>
  </si>
  <si>
    <t>Emissions Example 1</t>
  </si>
  <si>
    <t>Emissions Example 2</t>
  </si>
  <si>
    <t xml:space="preserve">Questionnaire to determine calculation method </t>
  </si>
  <si>
    <t>Natural gas</t>
  </si>
  <si>
    <t>Mass or Volume (if Mass is selected then cell F13 should be used, if Volume is selected then cell F14 should be used. Note: Only relavent if Option A is seleted)</t>
  </si>
  <si>
    <t xml:space="preserve">This value will come from cell F13, F14, or F18 depending on the responses from the questionnaire </t>
  </si>
  <si>
    <t>Specify which combustion process this tool is being applied to</t>
  </si>
  <si>
    <t>Mass or Volume (if Mass is selected then cell F32 should be used, if Volume is selected then cell F33 should be used)</t>
  </si>
  <si>
    <t xml:space="preserve">This value will come from cell F32, F33, or F37 depending on the responses from the questionnaire </t>
  </si>
  <si>
    <t>Emissions</t>
  </si>
  <si>
    <t>Anaerobic digester</t>
  </si>
  <si>
    <r>
      <rPr>
        <b/>
        <sz val="11"/>
        <color theme="1"/>
        <rFont val="Calibri"/>
        <family val="2"/>
        <scheme val="minor"/>
      </rPr>
      <t>Select one:</t>
    </r>
    <r>
      <rPr>
        <sz val="11"/>
        <color theme="1"/>
        <rFont val="Calibri"/>
        <family val="2"/>
        <scheme val="minor"/>
      </rPr>
      <t xml:space="preserve"> Covered anaerobic lagoons,  UASB type digesters / Anaerobic filter bed digesters /Anaerobic fluidized bed digester,  Conventional digesters, or Two stage digesters. (Values aaplied for each option: Covered anaerobic lagoons = 0.10,  UASB type digesters / Anaerobic filter bed digesters /Anaerobic fluidized bed digester = 0.15,  Conventional digesters = 0.20, or Two stage digesters = 0.05)</t>
    </r>
  </si>
  <si>
    <r>
      <rPr>
        <b/>
        <sz val="11"/>
        <color theme="1"/>
        <rFont val="Calibri"/>
        <family val="2"/>
        <scheme val="minor"/>
      </rPr>
      <t>Select one:</t>
    </r>
    <r>
      <rPr>
        <sz val="11"/>
        <color theme="1"/>
        <rFont val="Calibri"/>
        <family val="2"/>
        <scheme val="minor"/>
      </rPr>
      <t xml:space="preserve"> Two phase digesters or All other technologies. (Values applied for each option: Two phase digesters = 0.15, All other technologies = 0.35)</t>
    </r>
  </si>
  <si>
    <t>For methane conversion factor calculation purposes select the depth of liquid digestate storage:</t>
  </si>
  <si>
    <t>Select one:  ≥ 2 m, &lt; 2 m and ≥ 1 m, &lt; 1 m. (Values to be applied for each option: ≥ 2 m = 0.8, &lt; 2 m and ≥ 1 m = 0.2, &lt; 1 m = 0)</t>
  </si>
  <si>
    <t xml:space="preserve">BEy </t>
  </si>
  <si>
    <t>Baseline emissions in year y (t CO2e)</t>
  </si>
  <si>
    <t>Global Warming Potential (GWP) of CH4 applicable to the crediting period (t CO2e/t CH4)</t>
  </si>
  <si>
    <t xml:space="preserve">DCH4 </t>
  </si>
  <si>
    <t>Annual methane conversion factor (MCF) for the baseline animal manure management system j</t>
  </si>
  <si>
    <t>Fraction of manure handled in baseline animal manure management system j</t>
  </si>
  <si>
    <t xml:space="preserve">MS%Bl,j </t>
  </si>
  <si>
    <t xml:space="preserve">UFb </t>
  </si>
  <si>
    <t xml:space="preserve">VSLT,y </t>
  </si>
  <si>
    <t>Annual volatile solid excretions for livestock LT entering all animal waste management systems on a dry matter weight basis (kgdm/animal/yr)</t>
  </si>
  <si>
    <r>
      <rPr>
        <vertAlign val="subscript"/>
        <sz val="11"/>
        <color theme="1"/>
        <rFont val="Calibri"/>
        <family val="2"/>
        <scheme val="minor"/>
      </rPr>
      <t xml:space="preserve"> </t>
    </r>
    <r>
      <rPr>
        <sz val="11"/>
        <color theme="1"/>
        <rFont val="Calibri"/>
        <family val="2"/>
        <scheme val="minor"/>
      </rPr>
      <t>Annual volatile solid excretions for livestock LT entering all animal waste management systems on a dry matter weight basis (kgdm/animal/yr)</t>
    </r>
  </si>
  <si>
    <t>VSLT,y</t>
  </si>
  <si>
    <t>Daily average gross energy intake (MJ/animal/day)</t>
  </si>
  <si>
    <t>GELT</t>
  </si>
  <si>
    <t>Digestible energy of the feed (per cent)</t>
  </si>
  <si>
    <t xml:space="preserve">DELT </t>
  </si>
  <si>
    <t>Urinary energy (fraction of GELT)</t>
  </si>
  <si>
    <t xml:space="preserve">UE </t>
  </si>
  <si>
    <t>Ash content of manure (fraction of the dry matter feed intake)</t>
  </si>
  <si>
    <t xml:space="preserve">ASH </t>
  </si>
  <si>
    <t>Energy density of the feed fed to livestock type LT (MJ/kg-dm)</t>
  </si>
  <si>
    <t>EDLT</t>
  </si>
  <si>
    <t>Number of days treatment plant was operational in year y</t>
  </si>
  <si>
    <t xml:space="preserve">ndy </t>
  </si>
  <si>
    <t>Number of days animal is alive in the farm in the year y (numbers)</t>
  </si>
  <si>
    <t xml:space="preserve">Nda,y </t>
  </si>
  <si>
    <t>Number of animals produced annually of type LT for the year y (numbers)</t>
  </si>
  <si>
    <t xml:space="preserve">Np,y </t>
  </si>
  <si>
    <t>Project emissions in year y (t CO2e)</t>
  </si>
  <si>
    <t xml:space="preserve">PEy </t>
  </si>
  <si>
    <t>Emissions due to physical leakage of biogas in year y (t CO2e)</t>
  </si>
  <si>
    <t>PEPL,y</t>
  </si>
  <si>
    <t>Emissions from flaring or combustion of the biogas stream in the year y (t CO2e)</t>
  </si>
  <si>
    <t>Emissions from the use of fossil fuel or electricity for the operation of the installed facilities in the year y (t CO2e)</t>
  </si>
  <si>
    <t>PEpower,y</t>
  </si>
  <si>
    <t>Emissions from incremental transportation in the year y (t CO2e)</t>
  </si>
  <si>
    <t xml:space="preserve">PEtransp,y </t>
  </si>
  <si>
    <t>Emissions from the storage of manure (t CO2e)</t>
  </si>
  <si>
    <t xml:space="preserve">PEstorage,y </t>
  </si>
  <si>
    <t xml:space="preserve">PEPL,y </t>
  </si>
  <si>
    <t>PEstorage,y</t>
  </si>
  <si>
    <t>Annual average interval between manure collection and delivery for treatment at a given storage device l (days)</t>
  </si>
  <si>
    <t>Amount of volatile solid production by type of animal LT in a day (kg VS/head/d)</t>
  </si>
  <si>
    <t>Fraction of volatile solids (%) handled by storage device l</t>
  </si>
  <si>
    <t>Days for which cumulative methane emissions are calculated; d can vary from 1 to 45 and to be run from 1 up to AIl</t>
  </si>
  <si>
    <t>Annual methane conversion factor for the project manure storage device l</t>
  </si>
  <si>
    <t>Emission reductions achieved by the project activity based on monitored values for year y (t CO2e)</t>
  </si>
  <si>
    <t xml:space="preserve">ERy,ex post </t>
  </si>
  <si>
    <t>Baseline emissions calculated using equation 1 (for projects using option in paragraph</t>
  </si>
  <si>
    <t xml:space="preserve">BEy,ex post </t>
  </si>
  <si>
    <t xml:space="preserve">PEy,ex post </t>
  </si>
  <si>
    <t>Project emissions calculated using equation 6 using ex post monitored values</t>
  </si>
  <si>
    <t>Emissions from the use of fossil fuel or electricity for the operation of the
installed facilities based on monitored values in the year y (t CO2e)</t>
  </si>
  <si>
    <t xml:space="preserve">PEpower,y,ex post </t>
  </si>
  <si>
    <t>Methane captured and destroyed or used gainfully by the project activity in year y (t CO2e)</t>
  </si>
  <si>
    <t xml:space="preserve">Mdy </t>
  </si>
  <si>
    <t>Biogas flared or combusted in year y (m3 )</t>
  </si>
  <si>
    <t xml:space="preserve">BGburnt,y </t>
  </si>
  <si>
    <t>Methane content in biogas in the year y (volume fraction)</t>
  </si>
  <si>
    <t xml:space="preserve">wCH4,Y </t>
  </si>
  <si>
    <t>Flare efficiency in the year y (fraction)</t>
  </si>
  <si>
    <t xml:space="preserve">FE </t>
  </si>
  <si>
    <t>Total electricity generated from the recovered biogas in year y (MWh)</t>
  </si>
  <si>
    <t xml:space="preserve">EGy </t>
  </si>
  <si>
    <t>NCV of methane (MJ/Nm3)</t>
  </si>
  <si>
    <t xml:space="preserve">NCVCH4 </t>
  </si>
  <si>
    <t>Energy conversion efficiency of the project equipment</t>
  </si>
  <si>
    <t xml:space="preserve">EEY </t>
  </si>
  <si>
    <t>CH4 density</t>
  </si>
  <si>
    <t>Project emissions due to physical leakage of biogas based on Tool 14</t>
  </si>
  <si>
    <t>Quantity of raw waste/manure treated and/or wastewater co-digested in the year y (tonnes)</t>
  </si>
  <si>
    <t>Average incremental distance for raw solid waste/manure and/or wastewater transportation (km/truck)</t>
  </si>
  <si>
    <t>CO2 emission factor from fuel use due to transportation (kgCO2/km)</t>
  </si>
  <si>
    <t>Quantity of residual waste produced in year y (tonnes)</t>
  </si>
  <si>
    <t>Average truck capacity for residual waste transportation (tonnes/truck)</t>
  </si>
  <si>
    <t>Average distance for residual waste transportation (km/truck)</t>
  </si>
  <si>
    <t>Qy</t>
  </si>
  <si>
    <t>Cty</t>
  </si>
  <si>
    <t>DAFw</t>
  </si>
  <si>
    <t>EFCO2,transport</t>
  </si>
  <si>
    <t>Qres-waste,y</t>
  </si>
  <si>
    <t>DAFres-waste</t>
  </si>
  <si>
    <t>Average truck capacity for transportation (tonnes/truck)</t>
  </si>
  <si>
    <t>Ctres-waste,y</t>
  </si>
  <si>
    <t xml:space="preserve">Conversion factor </t>
  </si>
  <si>
    <t>(1MWh=3600 MJ)</t>
  </si>
  <si>
    <t>Type of livestock</t>
  </si>
  <si>
    <t>Cattle</t>
  </si>
  <si>
    <t>Number of animals produced annually of defined type for the year y (numbers)</t>
  </si>
  <si>
    <t>Annual average number of animals of defined type in year y (numbers)</t>
  </si>
  <si>
    <t>Energy density of the feed fed to defined livestock type (MJ/kg-dm)</t>
  </si>
  <si>
    <t>Partial PEPL,y</t>
  </si>
  <si>
    <t>Partial Equation for Emissions due to physical leakage of biogas in year y (t CO2e) (17a option)</t>
  </si>
  <si>
    <t>Partial Equation for Emissions due to physical leakage of biogas in year y (17a option)</t>
  </si>
  <si>
    <t xml:space="preserve">Default Value: Annual volatile solid excretions for defined livestock entering all animal waste management systems on a dry matter weight basis (kgdm/animal/yr) </t>
  </si>
  <si>
    <t>Adjusted Default: Annual volatile solid excretions for defined livestock entering all animal waste management systems on a dry matter weight basis (kgdm/animal/yr)</t>
  </si>
  <si>
    <t>Partial Equation for Emissions due to physical leakage of biogas in year y (17b option)</t>
  </si>
  <si>
    <t>Partial Equation for Emissions due to physical leakage of biogas in year y (t CO2e) (17b option)</t>
  </si>
  <si>
    <t>[Click to Add New Livestock Type to Calculate Baseline Emissions]</t>
  </si>
  <si>
    <t>[Click to Add New Livestock Type to Calculate Project Emissions from Physical Leakage of Biogas]</t>
  </si>
  <si>
    <t>MCFj</t>
  </si>
  <si>
    <t>Partial Equation for baseline emissions in year y (t CO2e) (17a option)</t>
  </si>
  <si>
    <t>Partial Bey</t>
  </si>
  <si>
    <t>PP must choose between E9 or E10 Question: Do you want to use a default value for "Annual volatile solid excretions for livestock entering all animal waste management systems on a dry matter weight basis" or would you like to adjust the default value?</t>
  </si>
  <si>
    <t>Maximum methane producing potential of the volatile solid generated for defined animal type (m3 CH4/kg-dm)</t>
  </si>
  <si>
    <t>Partial Equation for Baseline Emissions year y (17a Option)</t>
  </si>
  <si>
    <t>Partial Equation for Baseline Emissions year y (17b Option)</t>
  </si>
  <si>
    <t>Partial BEy</t>
  </si>
  <si>
    <t>Partial Equation for baseline emissions in year y (t CO2e) (17b option)</t>
  </si>
  <si>
    <t>Model correction factor to account for model uncertainties</t>
  </si>
  <si>
    <t>Project Emissions on Account of Manure Storage in year y</t>
  </si>
  <si>
    <t>[Click to Add New Storage Device (Note: Please fill out a new form for each livestock type even if manure is stored in the same device]</t>
  </si>
  <si>
    <t>MCFl</t>
  </si>
  <si>
    <t>d</t>
  </si>
  <si>
    <t>MS%L</t>
  </si>
  <si>
    <t>VSLT,d</t>
  </si>
  <si>
    <t>AL,l</t>
  </si>
  <si>
    <t>LT</t>
  </si>
  <si>
    <t>Partial PEstorage</t>
  </si>
  <si>
    <t>Partial Project emissions on account of manure storage in year y (t CO2e)</t>
  </si>
  <si>
    <t xml:space="preserve">Degradation rate constant </t>
  </si>
  <si>
    <t>Swine</t>
  </si>
  <si>
    <t>Default Value or Adjust Default Value (Default Value = Cell F13, Adjusted Default Value = Cell F14)</t>
  </si>
  <si>
    <t>Default Value or Adjust Default Value (Default Value = Cell F34, Adjusted Default Value = Cell F35)</t>
  </si>
  <si>
    <t>Default Value or Adjust Default Value (Default Value = Cell F12, Adjusted Default Value = Cell F13)</t>
  </si>
  <si>
    <t>Default Value or Adjust Default Value (Default Value = Cell F32, Adjusted Default Value = Cell F33)</t>
  </si>
  <si>
    <t>Project emission factor for electricity generation for source in year y (t CO2/MWh)</t>
  </si>
  <si>
    <t>Baseline emission factor for electricity generation for source in year y (t CO2/MWh)</t>
  </si>
  <si>
    <t>Leakage emission factor for electricity generation for source in year y (t CO2/MWh)</t>
  </si>
  <si>
    <t>If PP selects Scenario A then they can choose from:</t>
  </si>
  <si>
    <t>If PP selects Scenario B then they can choose from:</t>
  </si>
  <si>
    <t xml:space="preserve">If PP selects Monitored Data then "Select the option that best suits your project": </t>
  </si>
  <si>
    <t>If PP selects Case 2 then "Select which calculation apporoach you'd like to use":</t>
  </si>
  <si>
    <t>If PP selects Case 1 then they have to use the stated calculation approach:</t>
  </si>
  <si>
    <t>If PP selects Case 3 then they have to use:</t>
  </si>
  <si>
    <t xml:space="preserve">This value comes from F29, F32, F33, F35 or F38. Depends on questionnaire response from Project Proponent </t>
  </si>
  <si>
    <t xml:space="preserve">This value comes from F30, F32, F33, F36 or F38. Depends on questionnaire response from Project Proponent </t>
  </si>
  <si>
    <r>
      <rPr>
        <b/>
        <sz val="11"/>
        <color theme="1"/>
        <rFont val="Calibri"/>
        <family val="2"/>
        <scheme val="minor"/>
      </rPr>
      <t>Default Values</t>
    </r>
    <r>
      <rPr>
        <sz val="11"/>
        <color theme="1"/>
        <rFont val="Calibri"/>
        <family val="2"/>
        <scheme val="minor"/>
      </rPr>
      <t xml:space="preserve"> is the only option until Tool 07 is available </t>
    </r>
    <r>
      <rPr>
        <sz val="11"/>
        <color rgb="FFFF0000"/>
        <rFont val="Calibri"/>
        <family val="2"/>
        <scheme val="minor"/>
      </rPr>
      <t xml:space="preserve">(Option A2 = Cell F29 is used for F19 and F21, Cell F30 is used for F20) </t>
    </r>
  </si>
  <si>
    <r>
      <t xml:space="preserve">Monitored Data or Default Value. </t>
    </r>
    <r>
      <rPr>
        <sz val="11"/>
        <color rgb="FFFF0000"/>
        <rFont val="Calibri"/>
        <family val="2"/>
        <scheme val="minor"/>
      </rPr>
      <t>(If PP selects Default Value then Cell F35 is used in F19 And F21, F36 will be used in F20)</t>
    </r>
  </si>
  <si>
    <r>
      <rPr>
        <b/>
        <sz val="11"/>
        <color theme="1"/>
        <rFont val="Calibri"/>
        <family val="2"/>
        <scheme val="minor"/>
      </rPr>
      <t>Option 1:</t>
    </r>
    <r>
      <rPr>
        <sz val="11"/>
        <color theme="1"/>
        <rFont val="Calibri"/>
        <family val="2"/>
        <scheme val="minor"/>
      </rPr>
      <t xml:space="preserve"> Heat generation is ignored or</t>
    </r>
    <r>
      <rPr>
        <b/>
        <sz val="11"/>
        <color theme="1"/>
        <rFont val="Calibri"/>
        <family val="2"/>
        <scheme val="minor"/>
      </rPr>
      <t xml:space="preserve"> Option 2:</t>
    </r>
    <r>
      <rPr>
        <sz val="11"/>
        <color theme="1"/>
        <rFont val="Calibri"/>
        <family val="2"/>
        <scheme val="minor"/>
      </rPr>
      <t xml:space="preserve"> Fuel consumption is between electricity and heat generation. </t>
    </r>
    <r>
      <rPr>
        <sz val="11"/>
        <color rgb="FFFF0000"/>
        <rFont val="Calibri"/>
        <family val="2"/>
        <scheme val="minor"/>
      </rPr>
      <t>(If PP selects Option 1 the Cell F32 will be used in F19, F20 and F21, if Option 2 then Cell F33 is used in F19, F20 and F21)</t>
    </r>
  </si>
  <si>
    <r>
      <t xml:space="preserve">Monitored Data or Default Value. </t>
    </r>
    <r>
      <rPr>
        <sz val="11"/>
        <color rgb="FFFF0000"/>
        <rFont val="Calibri"/>
        <family val="2"/>
        <scheme val="minor"/>
      </rPr>
      <t>(If PP selects Default Value then Cell F35 is used in F19 and F21, F36 will be used in F20)</t>
    </r>
  </si>
  <si>
    <t>F35 wil be used for F19 and F21, F36 will be used for F20</t>
  </si>
  <si>
    <t>Average technical transmission and distribution losses for providing electricity to source for leakage in year y</t>
  </si>
  <si>
    <t>Average technical transmission and distribution losses for providing electricity to source for baseline in year y</t>
  </si>
  <si>
    <t>Average technical transmission and distribution losses for providing electricity to source for project in year y</t>
  </si>
  <si>
    <t>Quantity of electricity that would be consumed by the baseline electricity consumer in year y (MWh/yr)</t>
  </si>
  <si>
    <t>Quantity of electricity consumed by the project electricity consumption source in year y (MWh/yr)</t>
  </si>
  <si>
    <t>Net increase in electricity consumption of source in year y as a result of leakage (MWh/yr)</t>
  </si>
  <si>
    <t>Rated capacity of the captive power plant(s) that provide the project electricity consumption source(s) with electricity (MW)</t>
  </si>
  <si>
    <t>Rated capacity of the captive power plant(s) that provide the leakage electricity consumption source(s) with electricity (MW)</t>
  </si>
  <si>
    <t>Select One</t>
  </si>
  <si>
    <r>
      <t>Default Values or Monitored Data</t>
    </r>
    <r>
      <rPr>
        <sz val="11"/>
        <color rgb="FFFF0000"/>
        <rFont val="Calibri"/>
        <family val="2"/>
        <scheme val="minor"/>
      </rPr>
      <t xml:space="preserve"> (If Default Value use schema in row 41, if Monitored Data use schema in row 18)</t>
    </r>
  </si>
  <si>
    <r>
      <t xml:space="preserve">Default Values or Monitored Data </t>
    </r>
    <r>
      <rPr>
        <sz val="11"/>
        <color rgb="FFFF0000"/>
        <rFont val="Calibri"/>
        <family val="2"/>
        <scheme val="minor"/>
      </rPr>
      <t>(If Default Value use schema in row 48, if Monitored Data use schema in row 46)</t>
    </r>
  </si>
  <si>
    <r>
      <rPr>
        <b/>
        <sz val="11"/>
        <color rgb="FF000000"/>
        <rFont val="Calibri"/>
        <family val="2"/>
        <scheme val="minor"/>
      </rPr>
      <t>Option 1</t>
    </r>
    <r>
      <rPr>
        <sz val="11"/>
        <color rgb="FF000000"/>
        <rFont val="Calibri"/>
        <family val="2"/>
        <scheme val="minor"/>
      </rPr>
      <t xml:space="preserve"> has the option between Default Values </t>
    </r>
    <r>
      <rPr>
        <sz val="11"/>
        <color rgb="FFFF0000"/>
        <rFont val="Calibri"/>
        <family val="2"/>
        <scheme val="minor"/>
      </rPr>
      <t>(row 73)</t>
    </r>
    <r>
      <rPr>
        <sz val="11"/>
        <color rgb="FF000000"/>
        <rFont val="Calibri"/>
        <family val="2"/>
        <scheme val="minor"/>
      </rPr>
      <t xml:space="preserve"> or Monitored Data </t>
    </r>
    <r>
      <rPr>
        <sz val="11"/>
        <color rgb="FFFF0000"/>
        <rFont val="Calibri"/>
        <family val="2"/>
        <scheme val="minor"/>
      </rPr>
      <t>(row 66)</t>
    </r>
    <r>
      <rPr>
        <sz val="11"/>
        <color rgb="FF000000"/>
        <rFont val="Calibri"/>
        <family val="2"/>
        <scheme val="minor"/>
      </rPr>
      <t xml:space="preserve">, </t>
    </r>
    <r>
      <rPr>
        <b/>
        <sz val="11"/>
        <color rgb="FF000000"/>
        <rFont val="Calibri"/>
        <family val="2"/>
        <scheme val="minor"/>
      </rPr>
      <t>Option 2</t>
    </r>
    <r>
      <rPr>
        <sz val="11"/>
        <color rgb="FF000000"/>
        <rFont val="Calibri"/>
        <family val="2"/>
        <scheme val="minor"/>
      </rPr>
      <t xml:space="preserve"> can only use Default Values </t>
    </r>
    <r>
      <rPr>
        <sz val="11"/>
        <color rgb="FFFF0000"/>
        <rFont val="Calibri"/>
        <family val="2"/>
        <scheme val="minor"/>
      </rPr>
      <t>(row 78)</t>
    </r>
  </si>
  <si>
    <t>This value would depend on the questionnaire. If PP is using monitored data for storage of liquid digestate then cell F67 would be used, if PP is using default values for storage of liquid digestate then cell F74 would be used, if PP is using default values for storage of solid digestate then cell F79 would be used</t>
  </si>
  <si>
    <r>
      <rPr>
        <b/>
        <sz val="11"/>
        <color rgb="FF000000"/>
        <rFont val="Calibri"/>
        <family val="2"/>
        <scheme val="minor"/>
      </rPr>
      <t>Option 1-</t>
    </r>
    <r>
      <rPr>
        <sz val="11"/>
        <color rgb="FF000000"/>
        <rFont val="Calibri"/>
        <family val="2"/>
        <scheme val="minor"/>
      </rPr>
      <t xml:space="preserve"> In an un-aerated lagoon that has a depth of more than one meter, </t>
    </r>
    <r>
      <rPr>
        <b/>
        <sz val="11"/>
        <color rgb="FF000000"/>
        <rFont val="Calibri"/>
        <family val="2"/>
        <scheme val="minor"/>
      </rPr>
      <t>Option 2-</t>
    </r>
    <r>
      <rPr>
        <sz val="11"/>
        <color rgb="FF000000"/>
        <rFont val="Calibri"/>
        <family val="2"/>
        <scheme val="minor"/>
      </rPr>
      <t xml:space="preserve"> In a solid waste disposal site (SWDS), including stockpiles that are considered a SWDS, or </t>
    </r>
    <r>
      <rPr>
        <b/>
        <sz val="11"/>
        <color rgb="FF000000"/>
        <rFont val="Calibri"/>
        <family val="2"/>
        <scheme val="minor"/>
      </rPr>
      <t>Option 3-</t>
    </r>
    <r>
      <rPr>
        <sz val="11"/>
        <color rgb="FF000000"/>
        <rFont val="Calibri"/>
        <family val="2"/>
        <scheme val="minor"/>
      </rPr>
      <t xml:space="preserve"> None of the above apply </t>
    </r>
    <r>
      <rPr>
        <sz val="11"/>
        <color rgb="FFFF0000"/>
        <rFont val="Calibri"/>
        <family val="2"/>
        <scheme val="minor"/>
      </rPr>
      <t>(then F64 will be 0)</t>
    </r>
    <r>
      <rPr>
        <sz val="11"/>
        <color rgb="FF000000"/>
        <rFont val="Calibri"/>
        <family val="2"/>
        <scheme val="minor"/>
      </rPr>
      <t>. If option 1 or 2 is selected then follow up with question in D11</t>
    </r>
  </si>
  <si>
    <t>Time interval of monitoring (Example: 5 minutes or hourly)</t>
  </si>
  <si>
    <t xml:space="preserve">No </t>
  </si>
  <si>
    <t xml:space="preserve">Determination of which approach will be used 17a or 17b </t>
  </si>
  <si>
    <t>Please select the option that applies to your project in order to calculate baseline and project emissions:</t>
  </si>
  <si>
    <t>For Project emissions due to physical leakage of biogas, would you like to use the calculation method based on the AMS-III.D methodology for the calculation method from Methodological tool 14
Project and leakage emissions from
anaerobic digesters?</t>
  </si>
  <si>
    <r>
      <t xml:space="preserve">ASM-III.D  or Tool 14 </t>
    </r>
    <r>
      <rPr>
        <sz val="11"/>
        <color rgb="FFFF0000"/>
        <rFont val="Calibri"/>
        <family val="2"/>
        <scheme val="minor"/>
      </rPr>
      <t>(for option AMS-III.D then used schema Project emissions due to physical leakage of biogas 17a or Project emissions due to physical leakage of biogas 17b based on previous questions response. For option tool 14 use schema Project emissions due to physical leakage of biogas based on Tool 14)</t>
    </r>
  </si>
  <si>
    <r>
      <rPr>
        <b/>
        <sz val="11"/>
        <color rgb="FF000000"/>
        <rFont val="Calibri"/>
        <family val="2"/>
        <scheme val="minor"/>
      </rPr>
      <t>Option 17a:</t>
    </r>
    <r>
      <rPr>
        <sz val="11"/>
        <color rgb="FF000000"/>
        <rFont val="Calibri"/>
        <family val="2"/>
        <scheme val="minor"/>
      </rPr>
      <t xml:space="preserve"> Using the amount of the waste or raw material that would decay anaerobically in the absence of the project activity, with the most recent IPCC Tier 2 approach (please refer to the chapter ‘Emissions from Livestock and Manure Management’ under the volume ‘Agriculture, Forestry and other Land use’ of the 2006 IPCC Guidelines for National Greenhouse Gas Inventories). For this calculation, information about the characteristics of the manure and of the management systems in the baseline is required. Manure characteristics include the amount of volatile solids (VS) produced by the livestock and the maximum amount of methane that can be potentially produced from that manure (Bo).</t>
    </r>
    <r>
      <rPr>
        <b/>
        <sz val="11"/>
        <color rgb="FF000000"/>
        <rFont val="Calibri"/>
        <family val="2"/>
        <scheme val="minor"/>
      </rPr>
      <t xml:space="preserve"> Option 17b:</t>
    </r>
    <r>
      <rPr>
        <sz val="11"/>
        <color rgb="FF000000"/>
        <rFont val="Calibri"/>
        <family val="2"/>
        <scheme val="minor"/>
      </rPr>
      <t xml:space="preserve"> Using the amount of manure that would decay anaerobically in the absence of the project activity based on direct measurement of the quantity of manure treated together with its specific volatile solids (SVS) content. </t>
    </r>
    <r>
      <rPr>
        <sz val="11"/>
        <color rgb="FFFF0000"/>
        <rFont val="Calibri"/>
        <family val="2"/>
        <scheme val="minor"/>
      </rPr>
      <t>(Based on choice between 17a or 17b use appropriate schemas labeled 17a or 17b)</t>
    </r>
  </si>
  <si>
    <t>Project emissions on account of manure transport (AMS-III.AO)</t>
  </si>
  <si>
    <t>For the calculation "Methane captured and destroyed or used gainfully by the project activity" is the biogas flared/combusted or recovered for power generation?</t>
  </si>
  <si>
    <r>
      <t xml:space="preserve">Flared/Combusted or Recovered for Power Generation </t>
    </r>
    <r>
      <rPr>
        <sz val="11"/>
        <color rgb="FFFF0000"/>
        <rFont val="Calibri"/>
        <family val="2"/>
        <scheme val="minor"/>
      </rPr>
      <t>(If flared/ combused then use schema "Methane captured and destroyed or used gainfully by the project activity (biogas flared or combusted)", if recovered for power generation then use schema "Methane captured and destroyed or used gainfully by the project activity (recovered methane for power generation)")</t>
    </r>
  </si>
  <si>
    <t>Project Scope: 13</t>
  </si>
  <si>
    <t>GHG destruction: GHG destruction and displacement of more- GHG -intensive service</t>
  </si>
  <si>
    <t>Project Category: GHG destruction</t>
  </si>
  <si>
    <t>Replacement or modification of existing anaerobic manure management systems in livestock farms, or treatment of manure collected from several farms in a centralized plant to achieve methane recovery and destruction by flaring/combustion or energetic use of the recovered methane</t>
  </si>
  <si>
    <t xml:space="preserve">X Anaerobic </t>
  </si>
  <si>
    <t>Argentina</t>
  </si>
  <si>
    <t>JD@gmail.com</t>
  </si>
  <si>
    <t>AMS-III.D.: Methane recovery in animal manure management systems --- Version 21.0</t>
  </si>
  <si>
    <t>Tool 03- Tool to calculate project or leakage CO2 emissions from fossil fuel combustion</t>
  </si>
  <si>
    <t>Tool 05- Baseline, project and/or leakage emissions from electricity consumption and monitoring of electricity generation</t>
  </si>
  <si>
    <t>Tool 06- Project emissions from flaring</t>
  </si>
  <si>
    <t>Tool 14- Project and leakage emissions from anaerobic digesters</t>
  </si>
  <si>
    <t xml:space="preserve">The value for this will come from cell F43, F47, or F55. Depends on response from Project Proponent (see F26). </t>
  </si>
  <si>
    <t xml:space="preserve">Value comes from cell F82 or F89 depending on response from Project Proponent </t>
  </si>
  <si>
    <t>Monitoring plan was structured based on AMS-III.D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</si>
</sst>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b/>
      <sz val="11"/>
      <color theme="1"/>
      <name val="Calibri"/>
      <family val="2"/>
      <scheme val="minor"/>
    </font>
    <font>
      <u/>
      <sz val="11"/>
      <color theme="10"/>
      <name val="Calibri"/>
      <family val="2"/>
      <scheme val="minor"/>
    </font>
    <font>
      <b/>
      <sz val="14"/>
      <color rgb="FF000000"/>
      <name val="Calibri"/>
      <family val="2"/>
      <scheme val="minor"/>
    </font>
    <font>
      <sz val="14"/>
      <color rgb="FF000000"/>
      <name val="Calibri"/>
      <family val="2"/>
      <scheme val="minor"/>
    </font>
    <font>
      <sz val="11"/>
      <color rgb="FF000000"/>
      <name val="Calibri"/>
      <family val="2"/>
      <scheme val="minor"/>
    </font>
    <font>
      <vertAlign val="subscript"/>
      <sz val="11"/>
      <color theme="1"/>
      <name val="Calibri"/>
      <family val="2"/>
      <scheme val="minor"/>
    </font>
    <font>
      <sz val="9"/>
      <color indexed="81"/>
      <name val="Tahoma"/>
      <family val="2"/>
    </font>
    <font>
      <b/>
      <sz val="11"/>
      <color rgb="FF000000"/>
      <name val="Calibri"/>
      <family val="2"/>
      <scheme val="minor"/>
    </font>
    <font>
      <u/>
      <sz val="11"/>
      <color theme="1"/>
      <name val="Calibri"/>
      <family val="2"/>
      <scheme val="minor"/>
    </font>
    <font>
      <b/>
      <u/>
      <sz val="11"/>
      <color theme="1"/>
      <name val="Calibri"/>
      <family val="2"/>
      <scheme val="minor"/>
    </font>
    <font>
      <sz val="10"/>
      <name val="Arial"/>
    </font>
    <font>
      <sz val="10"/>
      <name val="Arial"/>
      <family val="2"/>
    </font>
    <font>
      <sz val="11"/>
      <name val="Calibri"/>
      <family val="2"/>
      <scheme val="minor"/>
    </font>
    <font>
      <b/>
      <sz val="12"/>
      <color theme="1"/>
      <name val="Calibri"/>
      <family val="2"/>
      <scheme val="minor"/>
    </font>
    <font>
      <b/>
      <sz val="14"/>
      <color theme="1"/>
      <name val="Calibri"/>
      <family val="2"/>
      <scheme val="minor"/>
    </font>
    <font>
      <i/>
      <sz val="14"/>
      <color rgb="FF000000"/>
      <name val="Calibri"/>
      <family val="2"/>
      <scheme val="minor"/>
    </font>
    <font>
      <sz val="11"/>
      <color rgb="FFFF0000"/>
      <name val="Calibri"/>
      <family val="2"/>
      <scheme val="minor"/>
    </font>
  </fonts>
  <fills count="7">
    <fill>
      <patternFill patternType="none"/>
    </fill>
    <fill>
      <patternFill patternType="gray125"/>
    </fill>
    <fill>
      <patternFill patternType="solid">
        <fgColor rgb="FFBFBFBF"/>
        <bgColor rgb="FF000000"/>
      </patternFill>
    </fill>
    <fill>
      <patternFill patternType="solid">
        <fgColor rgb="FF92D050"/>
        <bgColor indexed="64"/>
      </patternFill>
    </fill>
    <fill>
      <patternFill patternType="solid">
        <fgColor theme="0" tint="-0.249977111117893"/>
        <bgColor rgb="FF000000"/>
      </patternFill>
    </fill>
    <fill>
      <patternFill patternType="solid">
        <fgColor theme="0" tint="-0.249977111117893"/>
        <bgColor indexed="64"/>
      </patternFill>
    </fill>
    <fill>
      <patternFill patternType="solid">
        <fgColor theme="9"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11" fillId="0" borderId="0"/>
    <xf numFmtId="43" fontId="12" fillId="0" borderId="0" applyFont="0" applyFill="0" applyBorder="0" applyAlignment="0" applyProtection="0"/>
    <xf numFmtId="9" fontId="12" fillId="0" borderId="0" applyFont="0" applyFill="0" applyBorder="0" applyAlignment="0" applyProtection="0"/>
    <xf numFmtId="0" fontId="12" fillId="0" borderId="0"/>
  </cellStyleXfs>
  <cellXfs count="59">
    <xf numFmtId="0" fontId="0" fillId="0" borderId="0" xfId="0"/>
    <xf numFmtId="0" fontId="3" fillId="0" borderId="0" xfId="0" applyFont="1"/>
    <xf numFmtId="0" fontId="3" fillId="0" borderId="0" xfId="0" applyFont="1" applyAlignment="1">
      <alignment horizontal="left"/>
    </xf>
    <xf numFmtId="0" fontId="3" fillId="2" borderId="0" xfId="0" applyFont="1" applyFill="1" applyAlignment="1">
      <alignment horizontal="left"/>
    </xf>
    <xf numFmtId="0" fontId="4" fillId="2" borderId="0" xfId="0" applyFont="1" applyFill="1" applyAlignment="1">
      <alignment horizontal="left"/>
    </xf>
    <xf numFmtId="0" fontId="5" fillId="2" borderId="0" xfId="0" applyFont="1" applyFill="1"/>
    <xf numFmtId="0" fontId="5" fillId="0" borderId="0" xfId="0" applyFont="1"/>
    <xf numFmtId="0" fontId="5" fillId="0" borderId="0" xfId="0" applyFont="1" applyAlignment="1">
      <alignment wrapText="1"/>
    </xf>
    <xf numFmtId="0" fontId="0" fillId="0" borderId="0" xfId="0" applyAlignment="1">
      <alignment wrapText="1"/>
    </xf>
    <xf numFmtId="0" fontId="2" fillId="0" borderId="0" xfId="1"/>
    <xf numFmtId="0" fontId="5" fillId="0" borderId="0" xfId="0" applyFont="1" applyAlignment="1">
      <alignment horizontal="left"/>
    </xf>
    <xf numFmtId="0" fontId="0" fillId="0" borderId="0" xfId="0" applyAlignment="1">
      <alignment horizontal="left"/>
    </xf>
    <xf numFmtId="0" fontId="0" fillId="3" borderId="0" xfId="0" applyFill="1" applyAlignment="1">
      <alignment wrapText="1"/>
    </xf>
    <xf numFmtId="0" fontId="0" fillId="3" borderId="0" xfId="0" applyFill="1"/>
    <xf numFmtId="0" fontId="0" fillId="3" borderId="0" xfId="0" applyFill="1" applyAlignment="1">
      <alignment horizontal="left"/>
    </xf>
    <xf numFmtId="0" fontId="0" fillId="3" borderId="0" xfId="0" applyFill="1" applyAlignment="1">
      <alignment vertical="center" wrapText="1"/>
    </xf>
    <xf numFmtId="0" fontId="3" fillId="4" borderId="0" xfId="0" applyFont="1" applyFill="1" applyAlignment="1">
      <alignment horizontal="left"/>
    </xf>
    <xf numFmtId="0" fontId="4" fillId="4" borderId="0" xfId="0" applyFont="1" applyFill="1" applyAlignment="1">
      <alignment horizontal="left"/>
    </xf>
    <xf numFmtId="0" fontId="0" fillId="5" borderId="0" xfId="0" applyFill="1"/>
    <xf numFmtId="10" fontId="0" fillId="0" borderId="0" xfId="0" applyNumberFormat="1" applyAlignment="1">
      <alignment horizontal="left"/>
    </xf>
    <xf numFmtId="4" fontId="0" fillId="0" borderId="0" xfId="0" applyNumberFormat="1" applyAlignment="1">
      <alignment horizontal="left"/>
    </xf>
    <xf numFmtId="3" fontId="0" fillId="0" borderId="0" xfId="0" applyNumberFormat="1" applyAlignment="1">
      <alignment horizontal="left"/>
    </xf>
    <xf numFmtId="0" fontId="0" fillId="3" borderId="0" xfId="0" applyFill="1" applyAlignment="1">
      <alignment horizontal="left" wrapText="1"/>
    </xf>
    <xf numFmtId="0" fontId="5" fillId="3" borderId="0" xfId="0" applyFont="1" applyFill="1" applyAlignment="1">
      <alignment horizontal="left"/>
    </xf>
    <xf numFmtId="0" fontId="5" fillId="3" borderId="0" xfId="0" applyFont="1" applyFill="1" applyAlignment="1">
      <alignment horizontal="left" wrapText="1"/>
    </xf>
    <xf numFmtId="0" fontId="13" fillId="3" borderId="0" xfId="5" applyFont="1" applyFill="1" applyAlignment="1">
      <alignment vertical="top" wrapText="1"/>
    </xf>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14" fillId="0" borderId="4" xfId="0" applyFont="1" applyBorder="1" applyAlignment="1">
      <alignment horizontal="center"/>
    </xf>
    <xf numFmtId="0" fontId="14" fillId="0" borderId="1" xfId="0" applyFont="1" applyBorder="1" applyAlignment="1">
      <alignment horizont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9" xfId="0" applyBorder="1" applyAlignment="1">
      <alignment wrapText="1"/>
    </xf>
    <xf numFmtId="0" fontId="8" fillId="0" borderId="0" xfId="0" applyFont="1" applyAlignment="1">
      <alignment horizontal="left"/>
    </xf>
    <xf numFmtId="0" fontId="0" fillId="6" borderId="0" xfId="0" applyFill="1"/>
    <xf numFmtId="0" fontId="0" fillId="6" borderId="0" xfId="0" applyFill="1" applyAlignment="1">
      <alignment wrapText="1"/>
    </xf>
    <xf numFmtId="0" fontId="5" fillId="6" borderId="0" xfId="0" applyFont="1" applyFill="1"/>
    <xf numFmtId="0" fontId="3" fillId="6" borderId="0" xfId="0" applyFont="1" applyFill="1"/>
    <xf numFmtId="0" fontId="5" fillId="6" borderId="0" xfId="0" applyFont="1" applyFill="1" applyAlignment="1">
      <alignment horizontal="left" wrapText="1"/>
    </xf>
    <xf numFmtId="0" fontId="5" fillId="6" borderId="0" xfId="0" applyFont="1" applyFill="1" applyAlignment="1">
      <alignment wrapText="1"/>
    </xf>
    <xf numFmtId="0" fontId="15" fillId="0" borderId="2" xfId="0" applyFont="1" applyBorder="1" applyAlignment="1">
      <alignment horizontal="center"/>
    </xf>
    <xf numFmtId="0" fontId="1" fillId="0" borderId="3" xfId="0" applyFont="1" applyBorder="1" applyAlignment="1">
      <alignment horizontal="center"/>
    </xf>
    <xf numFmtId="0" fontId="15" fillId="0" borderId="4" xfId="0" applyFont="1" applyBorder="1" applyAlignment="1">
      <alignment horizontal="center"/>
    </xf>
    <xf numFmtId="0" fontId="15" fillId="0" borderId="15" xfId="0" applyFont="1" applyBorder="1" applyAlignment="1">
      <alignment horizontal="center"/>
    </xf>
    <xf numFmtId="0" fontId="0" fillId="0" borderId="0" xfId="0" applyFill="1" applyAlignment="1">
      <alignment wrapText="1"/>
    </xf>
    <xf numFmtId="0" fontId="0" fillId="0" borderId="0" xfId="0" applyFill="1"/>
    <xf numFmtId="0" fontId="0" fillId="0" borderId="0" xfId="0" applyFill="1" applyAlignment="1">
      <alignment horizontal="left"/>
    </xf>
    <xf numFmtId="0" fontId="0" fillId="6" borderId="0" xfId="0" applyFill="1" applyAlignment="1">
      <alignment horizontal="left"/>
    </xf>
    <xf numFmtId="0" fontId="0" fillId="6" borderId="0" xfId="0" applyFill="1" applyAlignment="1">
      <alignment horizontal="left" wrapText="1"/>
    </xf>
    <xf numFmtId="0" fontId="5" fillId="0" borderId="0" xfId="0" applyFont="1" applyFill="1" applyAlignment="1">
      <alignment horizontal="left"/>
    </xf>
    <xf numFmtId="0" fontId="17" fillId="3" borderId="0" xfId="0" applyFont="1" applyFill="1" applyAlignment="1">
      <alignment horizontal="left" wrapText="1"/>
    </xf>
    <xf numFmtId="0" fontId="5" fillId="6" borderId="0" xfId="0" applyFont="1" applyFill="1" applyAlignment="1">
      <alignment horizontal="left"/>
    </xf>
  </cellXfs>
  <cellStyles count="6">
    <cellStyle name="Comma 2" xfId="3" xr:uid="{8C77CBF8-8B88-4FA7-896A-CEBC5A1B0418}"/>
    <cellStyle name="Hyperlink" xfId="1" builtinId="8"/>
    <cellStyle name="Normal" xfId="0" builtinId="0"/>
    <cellStyle name="Normal 2" xfId="2" xr:uid="{1DA72BB3-B85A-453F-B57A-7C6313342738}"/>
    <cellStyle name="Normal 3" xfId="5" xr:uid="{B2BBD416-A4E2-4B8E-9BE8-B9CB527298B5}"/>
    <cellStyle name="Percent 2" xfId="4" xr:uid="{2F13903E-2B33-4717-8BCC-BE8CF12602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iline Molina" id="{485A3DD3-9848-43A7-9D62-8FC3566A47F5}" userId="S::jailine.molina@envisionblockchain.com::dcbde9ba-19ec-4293-81b0-e7f5b6f86ad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9" dT="2023-08-02T16:15:50.59" personId="{485A3DD3-9848-43A7-9D62-8FC3566A47F5}" id="{CFC778ED-7BDE-461B-A56B-C7B86257DAEB}">
    <text>Eq 1</text>
  </threadedComment>
  <threadedComment ref="D34" dT="2023-08-02T16:15:50.59" personId="{485A3DD3-9848-43A7-9D62-8FC3566A47F5}" id="{308F7ADB-7057-4DF2-BD0E-84F8E2AD4BB6}">
    <text>Eq 5</text>
  </threadedComment>
  <threadedComment ref="D36" dT="2023-08-03T15:15:17.32" personId="{485A3DD3-9848-43A7-9D62-8FC3566A47F5}" id="{5B76F69B-3D7A-483D-AA38-216B6BFE7A4B}">
    <text>Eq 6</text>
  </threadedComment>
  <threadedComment ref="D43" dT="2023-08-02T16:40:41.01" personId="{485A3DD3-9848-43A7-9D62-8FC3566A47F5}" id="{C143401E-D150-4146-847E-BACEE162EB72}">
    <text>Eq 7</text>
  </threadedComment>
  <threadedComment ref="D47" dT="2023-08-02T16:40:35.09" personId="{485A3DD3-9848-43A7-9D62-8FC3566A47F5}" id="{0DED7565-3F18-4D20-B968-9EAB4DC3C303}">
    <text>Eq 8</text>
  </threadedComment>
  <threadedComment ref="D55" dT="2023-08-02T16:40:35.09" personId="{485A3DD3-9848-43A7-9D62-8FC3566A47F5}" id="{B7A52B58-3DE2-4D68-B058-A47D562E28AE}">
    <text>Eq 8</text>
  </threadedComment>
  <threadedComment ref="D55" dT="2023-08-21T18:41:53.77" personId="{485A3DD3-9848-43A7-9D62-8FC3566A47F5}" id="{6FFDA5A1-9E8F-4E3C-9D8B-9083D316CAE7}" parentId="{B7A52B58-3DE2-4D68-B058-A47D562E28AE}">
    <text>Option b in paragraph 21. Use of tool 14 to calculate parameter PEPL</text>
  </threadedComment>
  <threadedComment ref="D57" dT="2023-08-21T20:17:08.86" personId="{485A3DD3-9848-43A7-9D62-8FC3566A47F5}" id="{861744AA-6451-453D-BF2F-BC1FD6CF4419}">
    <text>Eq 3 from AMS-III.AO</text>
  </threadedComment>
  <threadedComment ref="D66" dT="2023-08-02T16:38:51.32" personId="{485A3DD3-9848-43A7-9D62-8FC3566A47F5}" id="{447D40D5-845D-41EE-9585-B381AA0C27C3}">
    <text>Eq 9</text>
  </threadedComment>
  <threadedComment ref="D70" dT="2023-08-03T14:44:39.97" personId="{485A3DD3-9848-43A7-9D62-8FC3566A47F5}" id="{8E0253C1-338F-4DA6-B8EA-92FFE4AFD736}">
    <text>Eq 10</text>
  </threadedComment>
  <threadedComment ref="D76" dT="2023-08-03T14:44:39.97" personId="{485A3DD3-9848-43A7-9D62-8FC3566A47F5}" id="{66469856-2A16-4425-BB06-ED00B98322EA}">
    <text>Eq 10</text>
  </threadedComment>
  <threadedComment ref="D82" dT="2023-08-03T15:16:03.26" personId="{485A3DD3-9848-43A7-9D62-8FC3566A47F5}" id="{CE4F5722-2130-490F-B11B-83A7A91F3826}">
    <text>Eq 11</text>
  </threadedComment>
  <threadedComment ref="D89" dT="2023-08-03T15:16:16.97" personId="{485A3DD3-9848-43A7-9D62-8FC3566A47F5}" id="{5B47BF49-B2F2-4AA3-A6E5-FE4A708335FF}">
    <text>Eq 12</text>
  </threadedComment>
</ThreadedComments>
</file>

<file path=xl/threadedComments/threadedComment2.xml><?xml version="1.0" encoding="utf-8"?>
<ThreadedComments xmlns="http://schemas.microsoft.com/office/spreadsheetml/2018/threadedcomments" xmlns:x="http://schemas.openxmlformats.org/spreadsheetml/2006/main">
  <threadedComment ref="D13" dT="2023-08-02T16:17:38.02" personId="{485A3DD3-9848-43A7-9D62-8FC3566A47F5}" id="{4B790A2D-3756-401F-9FC0-6E0C61B6DB97}">
    <text>Eq 4</text>
  </threadedComment>
  <threadedComment ref="D27" dT="2023-08-02T16:17:38.02" personId="{485A3DD3-9848-43A7-9D62-8FC3566A47F5}" id="{F39D23E3-2A2D-4E5D-B766-EDC4E00C0FB9}">
    <text>Eq 4</text>
  </threadedComment>
</ThreadedComments>
</file>

<file path=xl/threadedComments/threadedComment3.xml><?xml version="1.0" encoding="utf-8"?>
<ThreadedComments xmlns="http://schemas.microsoft.com/office/spreadsheetml/2018/threadedcomments" xmlns:x="http://schemas.openxmlformats.org/spreadsheetml/2006/main">
  <threadedComment ref="D9" dT="2023-08-02T16:17:38.02" personId="{485A3DD3-9848-43A7-9D62-8FC3566A47F5}" id="{13FD214F-8D66-47A0-BE09-7DA3DC274E2B}">
    <text>Eq 4</text>
  </threadedComment>
  <threadedComment ref="D13" dT="2023-08-02T16:16:00.60" personId="{485A3DD3-9848-43A7-9D62-8FC3566A47F5}" id="{1F096A44-44EC-42B1-8D7E-CA7428E9FA17}">
    <text>Eq 2</text>
  </threadedComment>
  <threadedComment ref="D13" dT="2023-08-03T15:04:52.91" personId="{485A3DD3-9848-43A7-9D62-8FC3566A47F5}" id="{9EB0AC80-3EEF-423E-A50C-28F4F1DC9C5D}" parentId="{1F096A44-44EC-42B1-8D7E-CA7428E9FA17}">
    <text>Default option</text>
  </threadedComment>
  <threadedComment ref="D13" dT="2023-08-03T15:06:08.73" personId="{485A3DD3-9848-43A7-9D62-8FC3566A47F5}" id="{0991D964-C882-4E2C-B7E7-B879642DA500}" parentId="{1F096A44-44EC-42B1-8D7E-CA7428E9FA17}">
    <text>PP should be able to choose if they want to use the default value (eq 2) or if they want to adjust the default value (eq 3)</text>
  </threadedComment>
  <threadedComment ref="D14" dT="2023-08-03T15:03:59.30" personId="{485A3DD3-9848-43A7-9D62-8FC3566A47F5}" id="{796EA67B-7488-4FDE-8F09-AD2CFCC88023}">
    <text>EQ 3</text>
  </threadedComment>
  <threadedComment ref="D14" dT="2023-08-03T15:04:18.12" personId="{485A3DD3-9848-43A7-9D62-8FC3566A47F5}" id="{E0EDFB68-61C8-4183-82EB-586EAFF5D86D}" parentId="{796EA67B-7488-4FDE-8F09-AD2CFCC88023}">
    <text xml:space="preserve">Project participants may adjust default IPCC values for VS for a site-specific average animal weight. If so, it shall be well explained and documented. The following equation shall be used </text>
  </threadedComment>
  <threadedComment ref="D30" dT="2023-08-02T16:17:38.02" personId="{485A3DD3-9848-43A7-9D62-8FC3566A47F5}" id="{E52EC422-9769-402E-ADE5-77AD52F71035}">
    <text>Eq 4</text>
  </threadedComment>
  <threadedComment ref="D34" dT="2023-08-02T16:16:00.60" personId="{485A3DD3-9848-43A7-9D62-8FC3566A47F5}" id="{68B7EF61-A770-4CE3-A99C-E1A8B6821322}">
    <text>Eq 2</text>
  </threadedComment>
  <threadedComment ref="D34" dT="2023-08-03T15:04:52.91" personId="{485A3DD3-9848-43A7-9D62-8FC3566A47F5}" id="{E60623C8-AB87-4600-8C6A-F79F2F65407E}" parentId="{68B7EF61-A770-4CE3-A99C-E1A8B6821322}">
    <text>Default option</text>
  </threadedComment>
  <threadedComment ref="D34" dT="2023-08-03T15:06:08.73" personId="{485A3DD3-9848-43A7-9D62-8FC3566A47F5}" id="{F532EE8C-D45D-4746-AB1C-E4C467085B9E}" parentId="{68B7EF61-A770-4CE3-A99C-E1A8B6821322}">
    <text>PP should be able to choose if they want to use the default value (eq 2) or if they want to adjust the default value (eq 3)</text>
  </threadedComment>
  <threadedComment ref="D35" dT="2023-08-03T15:03:59.30" personId="{485A3DD3-9848-43A7-9D62-8FC3566A47F5}" id="{ECDB7D98-DBDA-4454-93E6-DC4D6783951B}">
    <text>EQ 3</text>
  </threadedComment>
  <threadedComment ref="D35" dT="2023-08-03T15:04:18.12" personId="{485A3DD3-9848-43A7-9D62-8FC3566A47F5}" id="{379B3A98-48CE-4B49-AAA8-CD13D2A674EB}" parentId="{ECDB7D98-DBDA-4454-93E6-DC4D6783951B}">
    <text xml:space="preserve">Project participants may adjust default IPCC values for VS for a site-specific average animal weight. If so, it shall be well explained and documented. The following equation shall be used </text>
  </threadedComment>
</ThreadedComments>
</file>

<file path=xl/threadedComments/threadedComment4.xml><?xml version="1.0" encoding="utf-8"?>
<ThreadedComments xmlns="http://schemas.microsoft.com/office/spreadsheetml/2018/threadedcomments" xmlns:x="http://schemas.openxmlformats.org/spreadsheetml/2006/main">
  <threadedComment ref="D8" dT="2023-08-02T16:17:38.02" personId="{485A3DD3-9848-43A7-9D62-8FC3566A47F5}" id="{5FA0C20B-C61D-4F66-8E34-FB2D0749042F}">
    <text>Eq 4</text>
  </threadedComment>
  <threadedComment ref="D12" dT="2023-08-02T16:16:00.60" personId="{485A3DD3-9848-43A7-9D62-8FC3566A47F5}" id="{8E2E7A54-7B90-4D0C-9EFA-9D4149A6FB2E}">
    <text>Eq 2</text>
  </threadedComment>
  <threadedComment ref="D12" dT="2023-08-03T15:04:52.91" personId="{485A3DD3-9848-43A7-9D62-8FC3566A47F5}" id="{4C72F026-9BBA-4E4F-8F98-B2944794FA41}" parentId="{8E2E7A54-7B90-4D0C-9EFA-9D4149A6FB2E}">
    <text>Default option</text>
  </threadedComment>
  <threadedComment ref="D12" dT="2023-08-03T15:06:08.73" personId="{485A3DD3-9848-43A7-9D62-8FC3566A47F5}" id="{273B9D13-6585-4E38-B3EA-43C4ED1FB320}" parentId="{8E2E7A54-7B90-4D0C-9EFA-9D4149A6FB2E}">
    <text>PP should be able to choose if they want to use the default value (eq 2) or if they want to adjust the default value (eq 3)</text>
  </threadedComment>
  <threadedComment ref="D13" dT="2023-08-03T15:03:59.30" personId="{485A3DD3-9848-43A7-9D62-8FC3566A47F5}" id="{3C2FD650-F841-4E9F-B298-157B019CD878}">
    <text>EQ 3</text>
  </threadedComment>
  <threadedComment ref="D13" dT="2023-08-03T15:04:18.12" personId="{485A3DD3-9848-43A7-9D62-8FC3566A47F5}" id="{35D8F9BD-1122-4194-906A-79AFC846FC9C}" parentId="{3C2FD650-F841-4E9F-B298-157B019CD878}">
    <text xml:space="preserve">Project participants may adjust default IPCC values for VS for a site-specific average animal weight. If so, it shall be well explained and documented. The following equation shall be used </text>
  </threadedComment>
  <threadedComment ref="D28" dT="2023-08-02T16:17:38.02" personId="{485A3DD3-9848-43A7-9D62-8FC3566A47F5}" id="{5B19DF32-074F-42C5-A369-F9457D09465F}">
    <text>Eq 4</text>
  </threadedComment>
  <threadedComment ref="D32" dT="2023-08-02T16:16:00.60" personId="{485A3DD3-9848-43A7-9D62-8FC3566A47F5}" id="{17202CCE-DBAC-4227-88A5-3D9054DCE6B1}">
    <text>Eq 2</text>
  </threadedComment>
  <threadedComment ref="D32" dT="2023-08-03T15:04:52.91" personId="{485A3DD3-9848-43A7-9D62-8FC3566A47F5}" id="{1948BA8F-B44B-4678-ACAB-AA7CAA932B69}" parentId="{17202CCE-DBAC-4227-88A5-3D9054DCE6B1}">
    <text>Default option</text>
  </threadedComment>
  <threadedComment ref="D32" dT="2023-08-03T15:06:08.73" personId="{485A3DD3-9848-43A7-9D62-8FC3566A47F5}" id="{8C6B0E13-DAEF-4D6F-A95A-12EC82A89713}" parentId="{17202CCE-DBAC-4227-88A5-3D9054DCE6B1}">
    <text>PP should be able to choose if they want to use the default value (eq 2) or if they want to adjust the default value (eq 3)</text>
  </threadedComment>
  <threadedComment ref="D33" dT="2023-08-03T15:03:59.30" personId="{485A3DD3-9848-43A7-9D62-8FC3566A47F5}" id="{221C506E-003C-42E2-81D4-A4EA1BF63B59}">
    <text>EQ 3</text>
  </threadedComment>
  <threadedComment ref="D33" dT="2023-08-03T15:04:18.12" personId="{485A3DD3-9848-43A7-9D62-8FC3566A47F5}" id="{86CB54BD-DD28-4AFE-920D-30DAF1366E66}" parentId="{221C506E-003C-42E2-81D4-A4EA1BF63B59}">
    <text xml:space="preserve">Project participants may adjust default IPCC values for VS for a site-specific average animal weight. If so, it shall be well explained and documented. The following equation shall be used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8-16T18:22:05.61" personId="{485A3DD3-9848-43A7-9D62-8FC3566A47F5}" id="{4E77AC87-6030-4E06-AD27-32FED0DEC6E1}">
    <text xml:space="preserve">This is here for organization purposes </text>
  </threadedComment>
  <threadedComment ref="D9" dT="2023-08-16T16:15:54.51" personId="{485A3DD3-9848-43A7-9D62-8FC3566A47F5}" id="{725125E9-2F1C-4556-A0D0-2DB861288725}">
    <text>Eq 1</text>
  </threadedComment>
  <threadedComment ref="D13" dT="2023-08-16T16:24:21.85" personId="{485A3DD3-9848-43A7-9D62-8FC3566A47F5}" id="{4FB56301-8494-4291-B855-E2CE50527D0A}">
    <text>Eq 2</text>
  </threadedComment>
  <threadedComment ref="D14" dT="2023-08-16T16:25:02.66" personId="{485A3DD3-9848-43A7-9D62-8FC3566A47F5}" id="{EF9BF135-B406-4365-B975-F54137FB3D9A}">
    <text>Eq 3</text>
  </threadedComment>
</ThreadedComments>
</file>

<file path=xl/threadedComments/threadedComment6.xml><?xml version="1.0" encoding="utf-8"?>
<ThreadedComments xmlns="http://schemas.microsoft.com/office/spreadsheetml/2018/threadedcomments" xmlns:x="http://schemas.openxmlformats.org/spreadsheetml/2006/main">
  <threadedComment ref="D13" dT="2023-08-10T14:56:00.30" personId="{485A3DD3-9848-43A7-9D62-8FC3566A47F5}" id="{7E8EB3C6-7DA7-46C9-BC1D-5495BBB1D567}">
    <text>Eq 1</text>
  </threadedComment>
  <threadedComment ref="D14" dT="2023-08-10T14:56:07.23" personId="{485A3DD3-9848-43A7-9D62-8FC3566A47F5}" id="{BEAF43DA-4747-4652-8078-2D10C8BD6C09}">
    <text>Eq 2</text>
  </threadedComment>
  <threadedComment ref="D15" dT="2023-08-10T14:56:16.16" personId="{485A3DD3-9848-43A7-9D62-8FC3566A47F5}" id="{19191A56-F32B-433B-818A-7D4EC4523075}">
    <text>Eq 3</text>
  </threadedComment>
  <threadedComment ref="D17" dT="2023-08-14T21:55:53.61" personId="{485A3DD3-9848-43A7-9D62-8FC3566A47F5}" id="{3B372020-2064-4789-852E-EAABCA2B1F93}">
    <text>At least monthly recording of data</text>
  </threadedComment>
  <threadedComment ref="D32" dT="2023-08-10T15:56:01.08" personId="{485A3DD3-9848-43A7-9D62-8FC3566A47F5}" id="{E377C9D6-B997-4CCF-86A3-34206AF1E753}">
    <text>Eq 4</text>
  </threadedComment>
  <threadedComment ref="D33" dT="2023-08-10T21:11:09.42" personId="{485A3DD3-9848-43A7-9D62-8FC3566A47F5}" id="{CBCF5DA6-FF4F-4F35-AE34-589FE00F3E85}">
    <text>Eq 5</text>
  </threadedComment>
  <threadedComment ref="D38" dT="2023-08-22T01:12:00.32" personId="{485A3DD3-9848-43A7-9D62-8FC3566A47F5}" id="{3BD4A953-DEA0-42CE-BF6C-39ADE1814867}">
    <text>Eq 7</text>
  </threadedComment>
  <threadedComment ref="D39" dT="2023-08-22T01:12:36.84" personId="{485A3DD3-9848-43A7-9D62-8FC3566A47F5}" id="{35472D10-0130-48AB-A9B8-6B7A33349132}">
    <text>Eq 8</text>
  </threadedComment>
</ThreadedComments>
</file>

<file path=xl/threadedComments/threadedComment7.xml><?xml version="1.0" encoding="utf-8"?>
<ThreadedComments xmlns="http://schemas.microsoft.com/office/spreadsheetml/2018/threadedcomments" xmlns:x="http://schemas.openxmlformats.org/spreadsheetml/2006/main">
  <threadedComment ref="D4" dT="2023-08-10T15:56:01.08" personId="{485A3DD3-9848-43A7-9D62-8FC3566A47F5}" id="{29FA90DE-F9F0-49AD-AED4-67ACF9534925}">
    <text>Eq 4</text>
  </threadedComment>
  <threadedComment ref="D5" dT="2023-08-10T21:11:09.42" personId="{485A3DD3-9848-43A7-9D62-8FC3566A47F5}" id="{4739462F-2D02-43A5-A576-75202C5205D9}">
    <text>Eq 5</text>
  </threadedComment>
  <threadedComment ref="D7" dT="2023-08-10T20:53:47.04" personId="{485A3DD3-9848-43A7-9D62-8FC3566A47F5}" id="{E6C20FA2-CD60-4AE4-95C6-B4205C93DF79}">
    <text>Unit of measurement can be cubic meters, metric ton, or liter. This seems to be confusing when it comes to the calculation. Depending on the unit of measurement used there could be errors in the final calc. This is following the methodology so I'll leave it as is.</text>
  </threadedComment>
  <threadedComment ref="D8" dT="2023-08-10T21:00:37.41" personId="{485A3DD3-9848-43A7-9D62-8FC3566A47F5}" id="{9A26832D-4983-4949-A5C7-C77A1FA5A1E6}">
    <text>Assumptions are made for this that the unit for FCn,i,t is in metric tons</text>
  </threadedComment>
  <threadedComment ref="F8" dT="2023-08-10T19:37:59.63" personId="{485A3DD3-9848-43A7-9D62-8FC3566A47F5}" id="{BDD828A1-3926-48EC-84E1-AA8E8BF3EBA3}">
    <text>Dependent on fuel type selection</text>
  </threadedComment>
  <threadedComment ref="F9" dT="2023-08-10T19:38:12.02" personId="{485A3DD3-9848-43A7-9D62-8FC3566A47F5}" id="{7CC1D49C-511B-45B1-9B56-FA9C720ECF49}">
    <text>Dependent on fuel type selection</text>
  </threadedComment>
  <threadedComment ref="D16" dT="2023-08-10T15:56:01.08" personId="{485A3DD3-9848-43A7-9D62-8FC3566A47F5}" id="{7D40B52B-E791-4FF6-B218-2091A5A5C8C3}">
    <text>Eq 4</text>
  </threadedComment>
  <threadedComment ref="D17" dT="2023-08-10T21:11:09.42" personId="{485A3DD3-9848-43A7-9D62-8FC3566A47F5}" id="{8532C26E-6652-4B5D-B628-9ED27AD6736E}">
    <text>Eq 5</text>
  </threadedComment>
  <threadedComment ref="D19" dT="2023-08-10T20:53:47.04" personId="{485A3DD3-9848-43A7-9D62-8FC3566A47F5}" id="{730B6E38-5227-4A20-9035-F73680C470E3}">
    <text>Unit of measurement can be cubic meters, metric ton, or liter. This seems to be confusing when it comes to the calculation. Depending on the unit of measurement used there could be errors in the final calc. This is following the methodology so I'll leave it as is.</text>
  </threadedComment>
  <threadedComment ref="F20" dT="2023-08-10T19:37:59.63" personId="{485A3DD3-9848-43A7-9D62-8FC3566A47F5}" id="{DB1BA97D-41AF-451F-B6F1-764D20FDF7A9}">
    <text>Dependent on fuel type selection</text>
  </threadedComment>
  <threadedComment ref="F21" dT="2023-08-10T19:38:12.02" personId="{485A3DD3-9848-43A7-9D62-8FC3566A47F5}" id="{47D7476B-4243-45E5-A21A-CE6C7F7A0C0B}">
    <text>Dependent on fuel type selection</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3-08-10T18:36:13.31" personId="{485A3DD3-9848-43A7-9D62-8FC3566A47F5}" id="{1972914C-A658-46FD-87D9-5546E6F8DFB8}">
    <text>IPCC</text>
  </threadedComment>
  <threadedComment ref="C3" dT="2023-08-10T16:26:52.04" personId="{485A3DD3-9848-43A7-9D62-8FC3566A47F5}" id="{9A2B20CC-1A38-4549-8761-B639B8B1499F}">
    <text>Upper Default Value at the 95% confidence interval</text>
  </threadedComment>
</ThreadedComments>
</file>

<file path=xl/threadedComments/threadedComment9.xml><?xml version="1.0" encoding="utf-8"?>
<ThreadedComments xmlns="http://schemas.microsoft.com/office/spreadsheetml/2018/threadedcomments" xmlns:x="http://schemas.openxmlformats.org/spreadsheetml/2006/main">
  <threadedComment ref="C44" dT="2023-08-07T18:31:59.03" personId="{485A3DD3-9848-43A7-9D62-8FC3566A47F5}" id="{67AE920D-4546-495C-8C90-39E3B47BEE71}">
    <text>Eq 5</text>
  </threadedComment>
  <threadedComment ref="C45" dT="2023-08-07T18:37:45.62" personId="{485A3DD3-9848-43A7-9D62-8FC3566A47F5}" id="{9278B7AD-32FB-4819-9A51-49A855A0049D}">
    <text>Eq 6</text>
  </threadedComment>
  <threadedComment ref="C48" dT="2023-08-07T18:37:33.62" personId="{485A3DD3-9848-43A7-9D62-8FC3566A47F5}" id="{87201927-EFA8-44B9-8475-D94FB4C9B2A1}">
    <text>Eq 7</text>
  </threadedComment>
  <threadedComment ref="C49" dT="2023-08-07T18:58:57.06" personId="{485A3DD3-9848-43A7-9D62-8FC3566A47F5}" id="{F3DF6DE3-EDD7-4E78-9B2D-3C8C5DC9D344}">
    <text>Comes from tool 08</text>
  </threadedComment>
  <threadedComment ref="C50" dT="2023-08-07T19:02:06.06" personId="{485A3DD3-9848-43A7-9D62-8FC3566A47F5}" id="{9975357D-0592-4E46-88E6-15039414F0DD}">
    <text>Eq 5 in tool 08</text>
  </threadedComment>
  <threadedComment ref="C51" dT="2023-08-07T18:58:57.06" personId="{485A3DD3-9848-43A7-9D62-8FC3566A47F5}" id="{0E0320F1-B92B-4A60-9015-824417C92C8F}">
    <text>Comes from tool 08</text>
  </threadedComment>
  <threadedComment ref="C54" dT="2023-08-07T20:32:58.24" personId="{485A3DD3-9848-43A7-9D62-8FC3566A47F5}" id="{FA09F900-D3F7-4F1F-B366-294923B78A17}">
    <text>Eq 3</text>
  </threadedComment>
  <threadedComment ref="C56" dT="2023-08-07T19:07:00.47" personId="{485A3DD3-9848-43A7-9D62-8FC3566A47F5}" id="{07841D25-1509-438D-B9B7-E3585C21484C}">
    <text>Eq 4</text>
  </threadedComment>
  <threadedComment ref="C57" dT="2023-08-07T19:07:25.43" personId="{485A3DD3-9848-43A7-9D62-8FC3566A47F5}" id="{7EA4205B-B3DC-472F-913E-7972767323E3}">
    <text>Eq 8</text>
  </threadedComment>
  <threadedComment ref="C58" dT="2023-08-07T19:08:12.17" personId="{485A3DD3-9848-43A7-9D62-8FC3566A47F5}" id="{4673A058-533D-4E7F-85B6-62A755C6F9F1}">
    <text>Eq 9</text>
  </threadedComment>
  <threadedComment ref="C59" dT="2023-08-07T19:08:57.03" personId="{485A3DD3-9848-43A7-9D62-8FC3566A47F5}" id="{183AA168-3E61-40A5-8C9A-AC527E26BA84}">
    <text>Eq 10</text>
  </threadedComment>
  <threadedComment ref="C60" dT="2023-08-07T19:09:14.09" personId="{485A3DD3-9848-43A7-9D62-8FC3566A47F5}" id="{E9F5C8A3-5AA2-4B3F-BC85-B5C58C48DAA2}">
    <text>Eq 11</text>
  </threadedComment>
  <threadedComment ref="C61" dT="2023-08-07T19:09:51.89" personId="{485A3DD3-9848-43A7-9D62-8FC3566A47F5}" id="{7AE7B7B6-D1F0-401C-99C0-B7FF7422152E}">
    <text>Eq 12</text>
  </threadedComment>
  <threadedComment ref="C62" dT="2023-08-07T19:10:10.48" personId="{485A3DD3-9848-43A7-9D62-8FC3566A47F5}" id="{20798707-05DC-4A54-9350-DBF8000D9460}">
    <text>Eq 13</text>
  </threadedComment>
  <threadedComment ref="C64" dT="2023-08-07T19:19:04.14" personId="{485A3DD3-9848-43A7-9D62-8FC3566A47F5}" id="{C39A13E8-331C-4AD2-BA43-3BEA11FF86C4}">
    <text>Eq 14</text>
  </threadedComment>
  <threadedComment ref="C65" dT="2023-08-07T19:19:12.89" personId="{485A3DD3-9848-43A7-9D62-8FC3566A47F5}" id="{3FA8AB76-6A93-4C6B-BAF2-4489108685BF}">
    <text>Eq 14</text>
  </threadedComment>
  <threadedComment ref="C66" dT="2023-08-07T19:19:19.16" personId="{485A3DD3-9848-43A7-9D62-8FC3566A47F5}" id="{C778BD13-697B-4488-8B72-55E09BFF97C2}">
    <text>Eq 14</text>
  </threadedComment>
  <threadedComment ref="C67" dT="2023-08-07T19:19:27.70" personId="{485A3DD3-9848-43A7-9D62-8FC3566A47F5}" id="{14D7E649-F025-4F91-B969-9E7BE273B214}">
    <text>Eq 14</text>
  </threadedComment>
  <threadedComment ref="C69" dT="2023-08-07T21:12:45.72" personId="{485A3DD3-9848-43A7-9D62-8FC3566A47F5}" id="{65778340-FEEC-40B9-830B-98A4E22D5ABC}">
    <text>Eq 15</text>
  </threadedComment>
</ThreadedComments>
</file>

<file path=xl/threadedComments/threadedComment10.xml><?xml version="1.0" encoding="utf-8"?>
<ThreadedComments xmlns="http://schemas.microsoft.com/office/spreadsheetml/2018/threadedcomments" xmlns:x="http://schemas.openxmlformats.org/spreadsheetml/2006/main">
  <threadedComment ref="F11" dT="2023-08-04T20:12:15.49" personId="{485A3DD3-9848-43A7-9D62-8FC3566A47F5}" id="{28A7619C-4B50-4E5B-AECB-B3ADD6528EE0}">
    <text>Tool 04 has to be digitized in order to use monitored data for Option 2 (solid waste)</text>
  </threadedComment>
  <threadedComment ref="D13" dT="2023-08-03T18:04:10.78" personId="{485A3DD3-9848-43A7-9D62-8FC3566A47F5}" id="{AE22B233-FE1A-4A5D-BA51-4A7BB6ED6D61}">
    <text>Eq 1</text>
  </threadedComment>
  <threadedComment ref="F15" dT="2023-08-16T19:23:01.18" personId="{485A3DD3-9848-43A7-9D62-8FC3566A47F5}" id="{CFBF9B3E-C735-4516-8F04-ADF3F24264A7}">
    <text>Comes from tool 03</text>
  </threadedComment>
  <threadedComment ref="D19" dT="2023-08-03T18:14:45.92" personId="{485A3DD3-9848-43A7-9D62-8FC3566A47F5}" id="{488CCFB6-6AA8-42A1-A762-B0556923777E}">
    <text>Eq 4</text>
  </threadedComment>
  <threadedComment ref="D19" dT="2023-08-03T18:42:23.82" personId="{485A3DD3-9848-43A7-9D62-8FC3566A47F5}" id="{DC1774F2-827F-455D-9BB2-5750FE8425CA}" parentId="{488CCFB6-6AA8-42A1-A762-B0556923777E}">
    <text xml:space="preserve">Tool 8 Tool to determine the mass flow of a greenhouse gas in a gaseous stream </text>
  </threadedComment>
  <threadedComment ref="D24" dT="2023-08-03T18:14:38.43" personId="{485A3DD3-9848-43A7-9D62-8FC3566A47F5}" id="{F8305B3A-F7B1-4315-8887-0340B3D93C75}">
    <text>Eq 3</text>
  </threadedComment>
  <threadedComment ref="D28" dT="2023-08-03T18:19:12.73" personId="{485A3DD3-9848-43A7-9D62-8FC3566A47F5}" id="{33337DA6-ED7D-4181-8003-6266741B5E07}">
    <text>Eq 9</text>
  </threadedComment>
  <threadedComment ref="D29" dT="2023-08-03T18:26:53.25" personId="{485A3DD3-9848-43A7-9D62-8FC3566A47F5}" id="{B5CDADC8-DFE0-43A8-ACC0-FF703B7656D3}">
    <text>Eq 15</text>
  </threadedComment>
  <threadedComment ref="D31" dT="2023-08-03T18:22:54.67" personId="{485A3DD3-9848-43A7-9D62-8FC3566A47F5}" id="{23E7147D-2EDB-4499-87CE-727D9F02AFAF}">
    <text>Eq 10</text>
  </threadedComment>
  <threadedComment ref="F34" dT="2023-08-03T18:35:58.01" personId="{485A3DD3-9848-43A7-9D62-8FC3566A47F5}" id="{0EAC2242-6109-4B83-A0B8-6BEBAB1A6FFC}">
    <text>Methane</text>
  </threadedComment>
  <threadedComment ref="D37" dT="2023-08-03T18:26:34.28" personId="{485A3DD3-9848-43A7-9D62-8FC3566A47F5}" id="{7C9702C5-4A27-4CAA-8A2F-3E847DDBB7E9}">
    <text>Eq 16</text>
  </threadedComment>
  <threadedComment ref="D38" dT="2023-08-03T18:29:23.16" personId="{485A3DD3-9848-43A7-9D62-8FC3566A47F5}" id="{EA140F73-92BC-4298-AB5E-CA2758DDB7F5}">
    <text>Eq 17</text>
  </threadedComment>
  <threadedComment ref="D42" dT="2023-08-03T18:52:20.08" personId="{485A3DD3-9848-43A7-9D62-8FC3566A47F5}" id="{C5712AA0-D3E5-46BC-98B4-E1D82FE80350}">
    <text>Eq 2</text>
  </threadedComment>
  <threadedComment ref="B46" dT="2023-08-04T20:02:42.42" personId="{485A3DD3-9848-43A7-9D62-8FC3566A47F5}" id="{08B3DA83-7691-4929-BCEE-64CE9C853DBA}">
    <text>This data comes from tool 05</text>
  </threadedComment>
  <threadedComment ref="D47" dT="2023-08-10T14:56:00.30" personId="{485A3DD3-9848-43A7-9D62-8FC3566A47F5}" id="{3CC693C3-827C-4A95-BBAF-CE31A5581D57}">
    <text>Eq 1</text>
  </threadedComment>
  <threadedComment ref="D47" dT="2023-08-16T20:12:59.41" personId="{485A3DD3-9848-43A7-9D62-8FC3566A47F5}" id="{7429EDAB-682F-418E-8153-AFD5A0F3DB42}" parentId="{3CC693C3-827C-4A95-BBAF-CE31A5581D57}">
    <text>Tool 05</text>
  </threadedComment>
  <threadedComment ref="D49" dT="2023-08-03T19:33:15.39" personId="{485A3DD3-9848-43A7-9D62-8FC3566A47F5}" id="{39B14187-7DF9-489D-B56B-63B26C9BD876}">
    <text>Eq 3</text>
  </threadedComment>
  <threadedComment ref="B53" dT="2023-08-04T20:03:23.24" personId="{485A3DD3-9848-43A7-9D62-8FC3566A47F5}" id="{D1F93FE6-0932-49F0-8B22-0DBDAF42403B}">
    <text>This data comes from tool 05</text>
  </threadedComment>
  <threadedComment ref="D54" dT="2023-08-10T14:56:00.30" personId="{485A3DD3-9848-43A7-9D62-8FC3566A47F5}" id="{42172633-E260-4307-AA72-6AF7EFC5A8F7}">
    <text>Eq 1</text>
  </threadedComment>
  <threadedComment ref="D54" dT="2023-08-16T20:15:28.34" personId="{485A3DD3-9848-43A7-9D62-8FC3566A47F5}" id="{89A370F7-A43F-4473-88AB-4A069D47F460}" parentId="{42172633-E260-4307-AA72-6AF7EFC5A8F7}">
    <text>Tool 05</text>
  </threadedComment>
  <threadedComment ref="D56" dT="2023-08-03T19:41:13.38" personId="{485A3DD3-9848-43A7-9D62-8FC3566A47F5}" id="{B74F85D2-30C3-4630-B105-1FD2DC2DC1A4}">
    <text>Eq 4</text>
  </threadedComment>
  <threadedComment ref="B60" dT="2023-08-04T20:13:11.89" personId="{485A3DD3-9848-43A7-9D62-8FC3566A47F5}" id="{BA23AD4F-DC30-4CCB-9752-FEC9917E5983}">
    <text>Data comes from Tool 06</text>
  </threadedComment>
  <threadedComment ref="D61" dT="2023-08-16T20:17:50.63" personId="{485A3DD3-9848-43A7-9D62-8FC3566A47F5}" id="{CA257184-DCF5-44BE-A30F-160ED1B756DF}">
    <text>Tool 06</text>
  </threadedComment>
  <threadedComment ref="D61" dT="2023-08-16T20:18:06.74" personId="{485A3DD3-9848-43A7-9D62-8FC3566A47F5}" id="{9A480520-7B06-466C-B421-7B907B4EA8AB}" parentId="{CA257184-DCF5-44BE-A30F-160ED1B756DF}">
    <text>Eq 15</text>
  </threadedComment>
  <threadedComment ref="D63" dT="2023-08-04T19:24:29.94" personId="{485A3DD3-9848-43A7-9D62-8FC3566A47F5}" id="{3D901F33-4920-4FC0-9DAF-4E2D3535B90A}">
    <text>Eq 5</text>
  </threadedComment>
  <threadedComment ref="F65" dT="2023-08-16T20:23:28.26" personId="{485A3DD3-9848-43A7-9D62-8FC3566A47F5}" id="{B9608D95-23DC-4C04-AB5A-84D640DBCC8E}">
    <text xml:space="preserve">Value of 0 until methodological tool “Project and leakage emissions from composting” is digitized. </text>
  </threadedComment>
  <threadedComment ref="D67" dT="2023-08-04T19:42:52.91" personId="{485A3DD3-9848-43A7-9D62-8FC3566A47F5}" id="{6EF90DA0-7F8B-4C2F-A5F4-16E856477B50}">
    <text>Eq 6</text>
  </threadedComment>
  <threadedComment ref="D74" dT="2023-08-04T19:47:05.88" personId="{485A3DD3-9848-43A7-9D62-8FC3566A47F5}" id="{70E80221-E82B-4E1F-BC51-0FC5CA7EE18A}">
    <text>Eq 7</text>
  </threadedComment>
  <threadedComment ref="D79" dT="2023-08-04T19:52:24.79" personId="{485A3DD3-9848-43A7-9D62-8FC3566A47F5}" id="{9B2EF7A1-8390-442D-9AC1-C74B8FF339CC}">
    <text>Eq 8</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D@gmail.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3.bin"/><Relationship Id="rId4" Type="http://schemas.microsoft.com/office/2017/10/relationships/threadedComment" Target="../threadedComments/threadedComment9.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0249D-F922-4C46-B08D-E30C62DBEE46}">
  <dimension ref="A1:G95"/>
  <sheetViews>
    <sheetView tabSelected="1" workbookViewId="0">
      <selection activeCell="F22" sqref="F22"/>
    </sheetView>
  </sheetViews>
  <sheetFormatPr defaultRowHeight="15" x14ac:dyDescent="0.25"/>
  <cols>
    <col min="1" max="1" width="18.140625" bestFit="1" customWidth="1"/>
    <col min="2" max="2" width="16" customWidth="1"/>
    <col min="3" max="3" width="18.140625" bestFit="1" customWidth="1"/>
    <col min="4" max="4" width="39.42578125" customWidth="1"/>
    <col min="5" max="5" width="29.28515625" bestFit="1" customWidth="1"/>
    <col min="6" max="6" width="106" bestFit="1" customWidth="1"/>
  </cols>
  <sheetData>
    <row r="1" spans="1:7" ht="18.75" x14ac:dyDescent="0.3">
      <c r="A1" s="1" t="s">
        <v>0</v>
      </c>
      <c r="B1" s="1" t="s">
        <v>1</v>
      </c>
      <c r="C1" s="1" t="s">
        <v>109</v>
      </c>
      <c r="D1" s="2" t="s">
        <v>2</v>
      </c>
      <c r="E1" s="2" t="s">
        <v>3</v>
      </c>
      <c r="F1" s="1" t="s">
        <v>4</v>
      </c>
      <c r="G1" s="1"/>
    </row>
    <row r="2" spans="1:7" ht="18.75" x14ac:dyDescent="0.3">
      <c r="A2" s="3"/>
      <c r="B2" s="4"/>
      <c r="C2" s="4"/>
      <c r="D2" s="3" t="s">
        <v>5</v>
      </c>
      <c r="E2" s="4"/>
      <c r="F2" s="4"/>
      <c r="G2" s="5"/>
    </row>
    <row r="3" spans="1:7" x14ac:dyDescent="0.25">
      <c r="A3" s="6" t="s">
        <v>6</v>
      </c>
      <c r="B3" s="6" t="s">
        <v>7</v>
      </c>
      <c r="C3" s="6"/>
      <c r="D3" s="6" t="s">
        <v>8</v>
      </c>
      <c r="E3" s="6" t="s">
        <v>9</v>
      </c>
      <c r="F3" s="7" t="s">
        <v>634</v>
      </c>
      <c r="G3" s="6"/>
    </row>
    <row r="4" spans="1:7" x14ac:dyDescent="0.25">
      <c r="A4" s="6" t="s">
        <v>6</v>
      </c>
      <c r="B4" s="6" t="s">
        <v>7</v>
      </c>
      <c r="C4" s="6"/>
      <c r="D4" s="6" t="s">
        <v>10</v>
      </c>
      <c r="E4" s="6" t="s">
        <v>9</v>
      </c>
      <c r="F4" s="6" t="s">
        <v>633</v>
      </c>
      <c r="G4" s="6"/>
    </row>
    <row r="5" spans="1:7" x14ac:dyDescent="0.25">
      <c r="A5" s="6" t="s">
        <v>6</v>
      </c>
      <c r="B5" s="6" t="s">
        <v>7</v>
      </c>
      <c r="C5" s="6"/>
      <c r="D5" s="6" t="s">
        <v>11</v>
      </c>
      <c r="E5" s="6" t="s">
        <v>6</v>
      </c>
      <c r="F5" s="6" t="s">
        <v>635</v>
      </c>
      <c r="G5" s="6"/>
    </row>
    <row r="6" spans="1:7" ht="45" x14ac:dyDescent="0.25">
      <c r="A6" s="6" t="s">
        <v>6</v>
      </c>
      <c r="B6" s="6" t="s">
        <v>7</v>
      </c>
      <c r="C6" s="6"/>
      <c r="D6" s="6" t="s">
        <v>12</v>
      </c>
      <c r="E6" s="6" t="s">
        <v>6</v>
      </c>
      <c r="F6" s="8" t="s">
        <v>636</v>
      </c>
      <c r="G6" s="6"/>
    </row>
    <row r="7" spans="1:7" x14ac:dyDescent="0.25">
      <c r="A7" s="6" t="s">
        <v>6</v>
      </c>
      <c r="B7" s="6" t="s">
        <v>7</v>
      </c>
      <c r="C7" s="6"/>
      <c r="D7" s="6" t="s">
        <v>13</v>
      </c>
      <c r="E7" s="6" t="s">
        <v>9</v>
      </c>
      <c r="F7" s="6" t="s">
        <v>14</v>
      </c>
      <c r="G7" s="6"/>
    </row>
    <row r="8" spans="1:7" x14ac:dyDescent="0.25">
      <c r="A8" s="6" t="s">
        <v>6</v>
      </c>
      <c r="B8" s="6" t="s">
        <v>7</v>
      </c>
      <c r="C8" s="6"/>
      <c r="D8" s="6" t="s">
        <v>15</v>
      </c>
      <c r="E8" s="6" t="s">
        <v>9</v>
      </c>
      <c r="F8" s="6" t="s">
        <v>637</v>
      </c>
      <c r="G8" s="6"/>
    </row>
    <row r="9" spans="1:7" x14ac:dyDescent="0.25">
      <c r="A9" s="6" t="s">
        <v>6</v>
      </c>
      <c r="B9" s="6" t="s">
        <v>16</v>
      </c>
      <c r="C9" s="6"/>
      <c r="D9" s="6" t="s">
        <v>17</v>
      </c>
      <c r="E9" s="6" t="s">
        <v>9</v>
      </c>
      <c r="F9" s="6" t="s">
        <v>18</v>
      </c>
      <c r="G9" s="6"/>
    </row>
    <row r="10" spans="1:7" x14ac:dyDescent="0.25">
      <c r="A10" s="6" t="s">
        <v>6</v>
      </c>
      <c r="B10" s="6" t="s">
        <v>7</v>
      </c>
      <c r="C10" s="6"/>
      <c r="D10" s="6" t="s">
        <v>19</v>
      </c>
      <c r="E10" s="6" t="s">
        <v>9</v>
      </c>
      <c r="F10" s="6" t="s">
        <v>20</v>
      </c>
      <c r="G10" s="6"/>
    </row>
    <row r="11" spans="1:7" x14ac:dyDescent="0.25">
      <c r="A11" s="6" t="s">
        <v>6</v>
      </c>
      <c r="B11" s="6" t="s">
        <v>21</v>
      </c>
      <c r="C11" s="6"/>
      <c r="D11" s="6" t="s">
        <v>22</v>
      </c>
      <c r="E11" s="6" t="s">
        <v>9</v>
      </c>
      <c r="F11" s="6" t="s">
        <v>638</v>
      </c>
      <c r="G11" s="6"/>
    </row>
    <row r="12" spans="1:7" x14ac:dyDescent="0.25">
      <c r="A12" s="6" t="s">
        <v>6</v>
      </c>
      <c r="B12" s="6" t="s">
        <v>23</v>
      </c>
      <c r="C12" s="6"/>
      <c r="D12" s="6" t="s">
        <v>24</v>
      </c>
      <c r="E12" s="6" t="s">
        <v>9</v>
      </c>
      <c r="F12" s="6" t="s">
        <v>25</v>
      </c>
      <c r="G12" s="6"/>
    </row>
    <row r="13" spans="1:7" x14ac:dyDescent="0.25">
      <c r="A13" s="6" t="s">
        <v>6</v>
      </c>
      <c r="B13" s="6" t="s">
        <v>26</v>
      </c>
      <c r="C13" s="6"/>
      <c r="D13" s="6" t="s">
        <v>27</v>
      </c>
      <c r="E13" s="6" t="s">
        <v>9</v>
      </c>
      <c r="F13" s="9" t="s">
        <v>639</v>
      </c>
      <c r="G13" s="6"/>
    </row>
    <row r="14" spans="1:7" x14ac:dyDescent="0.25">
      <c r="A14" s="6" t="s">
        <v>6</v>
      </c>
      <c r="B14" s="6" t="s">
        <v>7</v>
      </c>
      <c r="C14" s="6"/>
      <c r="D14" s="6" t="s">
        <v>28</v>
      </c>
      <c r="E14" s="6" t="s">
        <v>9</v>
      </c>
      <c r="F14" s="6" t="s">
        <v>9</v>
      </c>
      <c r="G14" s="6"/>
    </row>
    <row r="15" spans="1:7" x14ac:dyDescent="0.25">
      <c r="A15" s="6" t="s">
        <v>6</v>
      </c>
      <c r="B15" s="6" t="s">
        <v>7</v>
      </c>
      <c r="C15" s="6"/>
      <c r="D15" s="6" t="s">
        <v>29</v>
      </c>
      <c r="E15" s="6" t="s">
        <v>9</v>
      </c>
      <c r="F15" s="6" t="s">
        <v>9</v>
      </c>
      <c r="G15" s="6"/>
    </row>
    <row r="16" spans="1:7" x14ac:dyDescent="0.25">
      <c r="A16" s="6" t="s">
        <v>6</v>
      </c>
      <c r="B16" s="6" t="s">
        <v>7</v>
      </c>
      <c r="C16" s="6"/>
      <c r="D16" s="6" t="s">
        <v>30</v>
      </c>
      <c r="E16" s="6" t="s">
        <v>6</v>
      </c>
      <c r="F16" s="6" t="s">
        <v>640</v>
      </c>
      <c r="G16" s="6"/>
    </row>
    <row r="17" spans="1:7" x14ac:dyDescent="0.25">
      <c r="A17" s="6" t="s">
        <v>6</v>
      </c>
      <c r="B17" s="6" t="s">
        <v>7</v>
      </c>
      <c r="C17" s="6"/>
      <c r="D17" s="6" t="s">
        <v>30</v>
      </c>
      <c r="E17" s="6" t="s">
        <v>6</v>
      </c>
      <c r="F17" s="6" t="s">
        <v>641</v>
      </c>
      <c r="G17" s="6"/>
    </row>
    <row r="18" spans="1:7" x14ac:dyDescent="0.25">
      <c r="A18" s="6" t="s">
        <v>6</v>
      </c>
      <c r="B18" s="6" t="s">
        <v>7</v>
      </c>
      <c r="C18" s="6"/>
      <c r="D18" s="6" t="s">
        <v>30</v>
      </c>
      <c r="E18" s="6" t="s">
        <v>6</v>
      </c>
      <c r="F18" s="6" t="s">
        <v>642</v>
      </c>
      <c r="G18" s="6"/>
    </row>
    <row r="19" spans="1:7" x14ac:dyDescent="0.25">
      <c r="A19" s="6"/>
      <c r="B19" s="6"/>
      <c r="C19" s="6"/>
      <c r="D19" s="6"/>
      <c r="E19" s="6"/>
      <c r="F19" s="6" t="s">
        <v>643</v>
      </c>
      <c r="G19" s="6"/>
    </row>
    <row r="20" spans="1:7" x14ac:dyDescent="0.25">
      <c r="A20" s="6" t="s">
        <v>6</v>
      </c>
      <c r="B20" s="6" t="s">
        <v>7</v>
      </c>
      <c r="C20" s="6"/>
      <c r="D20" s="6" t="s">
        <v>30</v>
      </c>
      <c r="E20" s="6" t="s">
        <v>6</v>
      </c>
      <c r="F20" s="6" t="s">
        <v>644</v>
      </c>
      <c r="G20" s="6"/>
    </row>
    <row r="21" spans="1:7" x14ac:dyDescent="0.25">
      <c r="A21" s="6" t="s">
        <v>6</v>
      </c>
      <c r="B21" s="6" t="s">
        <v>31</v>
      </c>
      <c r="C21" s="6"/>
      <c r="D21" s="10" t="s">
        <v>32</v>
      </c>
      <c r="E21" s="10" t="s">
        <v>6</v>
      </c>
      <c r="F21" s="10" t="s">
        <v>33</v>
      </c>
      <c r="G21" s="6"/>
    </row>
    <row r="22" spans="1:7" x14ac:dyDescent="0.25">
      <c r="A22" s="6" t="s">
        <v>6</v>
      </c>
      <c r="B22" s="6" t="s">
        <v>31</v>
      </c>
      <c r="C22" s="6"/>
      <c r="D22" s="10" t="s">
        <v>34</v>
      </c>
      <c r="E22" s="10" t="s">
        <v>6</v>
      </c>
      <c r="F22" s="10" t="s">
        <v>33</v>
      </c>
      <c r="G22" s="6"/>
    </row>
    <row r="23" spans="1:7" x14ac:dyDescent="0.25">
      <c r="A23" s="6" t="s">
        <v>6</v>
      </c>
      <c r="B23" s="6" t="s">
        <v>7</v>
      </c>
      <c r="C23" s="6"/>
      <c r="D23" s="10" t="s">
        <v>35</v>
      </c>
      <c r="E23" s="10" t="s">
        <v>9</v>
      </c>
      <c r="F23" s="10" t="s">
        <v>647</v>
      </c>
      <c r="G23" s="6"/>
    </row>
    <row r="24" spans="1:7" s="18" customFormat="1" ht="18.75" x14ac:dyDescent="0.3">
      <c r="A24" s="16"/>
      <c r="B24" s="17"/>
      <c r="C24" s="17"/>
      <c r="D24" s="16" t="s">
        <v>625</v>
      </c>
      <c r="E24" s="17"/>
      <c r="F24" s="17"/>
    </row>
    <row r="25" spans="1:7" s="41" customFormat="1" ht="135" x14ac:dyDescent="0.25">
      <c r="A25" s="43" t="s">
        <v>6</v>
      </c>
      <c r="B25" s="43" t="s">
        <v>209</v>
      </c>
      <c r="C25" s="43"/>
      <c r="D25" s="45" t="s">
        <v>626</v>
      </c>
      <c r="E25" s="58" t="s">
        <v>9</v>
      </c>
      <c r="F25" s="45" t="s">
        <v>629</v>
      </c>
      <c r="G25" s="43"/>
    </row>
    <row r="26" spans="1:7" s="41" customFormat="1" ht="105" x14ac:dyDescent="0.25">
      <c r="A26" s="43" t="s">
        <v>6</v>
      </c>
      <c r="B26" s="43" t="s">
        <v>209</v>
      </c>
      <c r="C26" s="43"/>
      <c r="D26" s="45" t="s">
        <v>627</v>
      </c>
      <c r="E26" s="58" t="s">
        <v>9</v>
      </c>
      <c r="F26" s="45" t="s">
        <v>628</v>
      </c>
      <c r="G26" s="43"/>
    </row>
    <row r="27" spans="1:7" s="41" customFormat="1" ht="75" x14ac:dyDescent="0.25">
      <c r="A27" s="43" t="s">
        <v>6</v>
      </c>
      <c r="B27" s="43" t="s">
        <v>209</v>
      </c>
      <c r="C27" s="43"/>
      <c r="D27" s="45" t="s">
        <v>631</v>
      </c>
      <c r="E27" s="58" t="s">
        <v>9</v>
      </c>
      <c r="F27" s="45" t="s">
        <v>632</v>
      </c>
      <c r="G27" s="43"/>
    </row>
    <row r="28" spans="1:7" ht="18.75" x14ac:dyDescent="0.3">
      <c r="A28" s="3"/>
      <c r="B28" s="4"/>
      <c r="C28" s="4"/>
      <c r="D28" s="3" t="s">
        <v>36</v>
      </c>
      <c r="E28" s="4"/>
      <c r="F28" s="4"/>
      <c r="G28" s="5"/>
    </row>
    <row r="29" spans="1:7" s="13" customFormat="1" x14ac:dyDescent="0.25">
      <c r="A29" s="13" t="s">
        <v>9</v>
      </c>
      <c r="B29" s="13" t="s">
        <v>451</v>
      </c>
      <c r="C29" s="13" t="s">
        <v>467</v>
      </c>
      <c r="D29" s="23" t="s">
        <v>468</v>
      </c>
      <c r="E29" s="13" t="s">
        <v>9</v>
      </c>
      <c r="F29" s="14" t="e">
        <f>F30*F31*F32*SUM('Partial BE Based on LT 17a'!F5,'Partial BE Based on LT 17a'!F26)</f>
        <v>#VALUE!</v>
      </c>
    </row>
    <row r="30" spans="1:7" s="13" customFormat="1" ht="45" x14ac:dyDescent="0.25">
      <c r="A30" s="13" t="s">
        <v>9</v>
      </c>
      <c r="B30" s="13" t="s">
        <v>451</v>
      </c>
      <c r="C30" s="13" t="s">
        <v>270</v>
      </c>
      <c r="D30" s="12" t="s">
        <v>469</v>
      </c>
      <c r="E30" s="13" t="s">
        <v>9</v>
      </c>
      <c r="F30" s="14">
        <v>21</v>
      </c>
    </row>
    <row r="31" spans="1:7" s="13" customFormat="1" x14ac:dyDescent="0.25">
      <c r="A31" s="13" t="s">
        <v>9</v>
      </c>
      <c r="B31" s="13" t="s">
        <v>451</v>
      </c>
      <c r="C31" s="13" t="s">
        <v>470</v>
      </c>
      <c r="D31" s="12" t="s">
        <v>535</v>
      </c>
      <c r="E31" s="13" t="s">
        <v>9</v>
      </c>
      <c r="F31" s="14">
        <v>6.7000000000000002E-4</v>
      </c>
    </row>
    <row r="32" spans="1:7" s="13" customFormat="1" ht="30" x14ac:dyDescent="0.25">
      <c r="A32" s="13" t="s">
        <v>9</v>
      </c>
      <c r="B32" s="13" t="s">
        <v>451</v>
      </c>
      <c r="C32" s="13" t="s">
        <v>474</v>
      </c>
      <c r="D32" s="12" t="s">
        <v>576</v>
      </c>
      <c r="E32" s="13" t="s">
        <v>9</v>
      </c>
      <c r="F32" s="14">
        <v>0.94</v>
      </c>
    </row>
    <row r="33" spans="1:7" ht="18.75" x14ac:dyDescent="0.3">
      <c r="A33" s="3"/>
      <c r="B33" s="4"/>
      <c r="C33" s="4"/>
      <c r="D33" s="3" t="s">
        <v>37</v>
      </c>
      <c r="E33" s="4"/>
      <c r="F33" s="4"/>
      <c r="G33" s="5"/>
    </row>
    <row r="34" spans="1:7" s="13" customFormat="1" x14ac:dyDescent="0.25">
      <c r="A34" s="13" t="s">
        <v>9</v>
      </c>
      <c r="B34" s="13" t="s">
        <v>451</v>
      </c>
      <c r="C34" s="13" t="s">
        <v>467</v>
      </c>
      <c r="D34" s="23" t="s">
        <v>468</v>
      </c>
      <c r="E34" s="13" t="s">
        <v>9</v>
      </c>
      <c r="F34" s="14">
        <f>F30*F31*F32*SUM('Partial BE Based on LT 17b'!F5,'Partial BE Based on LT 17b'!F12)</f>
        <v>264.51599999999996</v>
      </c>
    </row>
    <row r="35" spans="1:7" ht="18.75" x14ac:dyDescent="0.3">
      <c r="A35" s="3"/>
      <c r="B35" s="4"/>
      <c r="C35" s="4"/>
      <c r="D35" s="3" t="s">
        <v>38</v>
      </c>
      <c r="E35" s="4"/>
      <c r="F35" s="4"/>
      <c r="G35" s="5"/>
    </row>
    <row r="36" spans="1:7" s="13" customFormat="1" ht="18" customHeight="1" x14ac:dyDescent="0.25">
      <c r="A36" s="13" t="s">
        <v>9</v>
      </c>
      <c r="B36" s="13" t="s">
        <v>451</v>
      </c>
      <c r="C36" s="13" t="s">
        <v>496</v>
      </c>
      <c r="D36" s="13" t="s">
        <v>495</v>
      </c>
      <c r="E36" s="13" t="s">
        <v>9</v>
      </c>
      <c r="F36" s="14" t="e">
        <f>F37+F38+F39+F40+F41</f>
        <v>#VALUE!</v>
      </c>
    </row>
    <row r="37" spans="1:7" s="13" customFormat="1" ht="30" x14ac:dyDescent="0.25">
      <c r="A37" s="13" t="s">
        <v>9</v>
      </c>
      <c r="B37" s="13" t="s">
        <v>451</v>
      </c>
      <c r="C37" s="13" t="s">
        <v>498</v>
      </c>
      <c r="D37" s="12" t="s">
        <v>497</v>
      </c>
      <c r="E37" s="13" t="s">
        <v>9</v>
      </c>
      <c r="F37" s="13" t="s">
        <v>645</v>
      </c>
    </row>
    <row r="38" spans="1:7" s="13" customFormat="1" ht="30" x14ac:dyDescent="0.25">
      <c r="A38" s="13" t="s">
        <v>9</v>
      </c>
      <c r="B38" s="13" t="s">
        <v>451</v>
      </c>
      <c r="C38" s="13" t="s">
        <v>426</v>
      </c>
      <c r="D38" s="12" t="s">
        <v>499</v>
      </c>
      <c r="E38" s="13" t="s">
        <v>9</v>
      </c>
      <c r="F38" s="14">
        <f>'Tool 06'!F69</f>
        <v>20523.291091650441</v>
      </c>
    </row>
    <row r="39" spans="1:7" s="13" customFormat="1" ht="44.25" customHeight="1" x14ac:dyDescent="0.25">
      <c r="A39" s="13" t="s">
        <v>9</v>
      </c>
      <c r="B39" s="13" t="s">
        <v>451</v>
      </c>
      <c r="C39" s="13" t="s">
        <v>501</v>
      </c>
      <c r="D39" s="12" t="s">
        <v>500</v>
      </c>
      <c r="E39" s="13" t="s">
        <v>9</v>
      </c>
      <c r="F39" s="14" t="e">
        <f>'Tool 14'!F14+'Tool 14'!F15</f>
        <v>#VALUE!</v>
      </c>
    </row>
    <row r="40" spans="1:7" s="13" customFormat="1" ht="30" x14ac:dyDescent="0.25">
      <c r="A40" s="13" t="s">
        <v>9</v>
      </c>
      <c r="B40" s="13" t="s">
        <v>451</v>
      </c>
      <c r="C40" s="13" t="s">
        <v>503</v>
      </c>
      <c r="D40" s="12" t="s">
        <v>502</v>
      </c>
      <c r="E40" s="13" t="s">
        <v>9</v>
      </c>
      <c r="F40" s="14" t="e">
        <f>F57</f>
        <v>#DIV/0!</v>
      </c>
    </row>
    <row r="41" spans="1:7" s="13" customFormat="1" ht="30" x14ac:dyDescent="0.25">
      <c r="A41" s="13" t="s">
        <v>9</v>
      </c>
      <c r="B41" s="13" t="s">
        <v>451</v>
      </c>
      <c r="C41" s="13" t="s">
        <v>505</v>
      </c>
      <c r="D41" s="12" t="s">
        <v>504</v>
      </c>
      <c r="E41" s="13" t="s">
        <v>9</v>
      </c>
      <c r="F41" s="14">
        <f>F66</f>
        <v>18291</v>
      </c>
    </row>
    <row r="42" spans="1:7" ht="18.75" x14ac:dyDescent="0.3">
      <c r="A42" s="3"/>
      <c r="B42" s="4"/>
      <c r="C42" s="4"/>
      <c r="D42" s="3" t="s">
        <v>39</v>
      </c>
      <c r="E42" s="4"/>
      <c r="F42" s="4"/>
      <c r="G42" s="5"/>
    </row>
    <row r="43" spans="1:7" s="13" customFormat="1" ht="30" x14ac:dyDescent="0.25">
      <c r="A43" s="13" t="s">
        <v>9</v>
      </c>
      <c r="B43" s="13" t="s">
        <v>451</v>
      </c>
      <c r="C43" s="13" t="s">
        <v>506</v>
      </c>
      <c r="D43" s="12" t="s">
        <v>497</v>
      </c>
      <c r="E43" s="13" t="s">
        <v>9</v>
      </c>
      <c r="F43" s="14" t="e">
        <f>0.1*F44*F45*SUM('PE Due to Leakage of Biogas 17a'!F5,'PE Due to Leakage of Biogas 17a'!F25)</f>
        <v>#VALUE!</v>
      </c>
    </row>
    <row r="44" spans="1:7" s="13" customFormat="1" ht="45" x14ac:dyDescent="0.25">
      <c r="A44" s="13" t="s">
        <v>9</v>
      </c>
      <c r="B44" s="13" t="s">
        <v>451</v>
      </c>
      <c r="C44" s="13" t="s">
        <v>270</v>
      </c>
      <c r="D44" s="12" t="s">
        <v>469</v>
      </c>
      <c r="E44" s="13" t="s">
        <v>9</v>
      </c>
      <c r="F44" s="14">
        <v>21</v>
      </c>
    </row>
    <row r="45" spans="1:7" s="13" customFormat="1" x14ac:dyDescent="0.25">
      <c r="A45" s="13" t="s">
        <v>9</v>
      </c>
      <c r="B45" s="13" t="s">
        <v>451</v>
      </c>
      <c r="C45" s="13" t="s">
        <v>470</v>
      </c>
      <c r="D45" s="12" t="s">
        <v>535</v>
      </c>
      <c r="E45" s="13" t="s">
        <v>9</v>
      </c>
      <c r="F45" s="14">
        <v>6.7000000000000002E-4</v>
      </c>
    </row>
    <row r="46" spans="1:7" ht="18.75" x14ac:dyDescent="0.3">
      <c r="A46" s="3"/>
      <c r="B46" s="4"/>
      <c r="C46" s="4"/>
      <c r="D46" s="3" t="s">
        <v>40</v>
      </c>
      <c r="E46" s="4"/>
      <c r="F46" s="4"/>
      <c r="G46" s="5"/>
    </row>
    <row r="47" spans="1:7" s="13" customFormat="1" ht="30" x14ac:dyDescent="0.25">
      <c r="A47" s="13" t="s">
        <v>9</v>
      </c>
      <c r="B47" s="13" t="s">
        <v>451</v>
      </c>
      <c r="C47" s="13" t="s">
        <v>506</v>
      </c>
      <c r="D47" s="12" t="s">
        <v>497</v>
      </c>
      <c r="E47" s="13" t="s">
        <v>9</v>
      </c>
      <c r="F47" s="14">
        <f>0.1*F52*F53*SUM('PE Due to Leakage of Biogas 17b'!F5,'PE Due to Leakage of Biogas 17b'!F12)</f>
        <v>7.0350000000000001</v>
      </c>
    </row>
    <row r="48" spans="1:7" ht="45" x14ac:dyDescent="0.25">
      <c r="A48" s="52" t="s">
        <v>6</v>
      </c>
      <c r="B48" s="52" t="s">
        <v>383</v>
      </c>
      <c r="C48" t="s">
        <v>416</v>
      </c>
      <c r="D48" s="8" t="s">
        <v>418</v>
      </c>
      <c r="E48" s="52" t="s">
        <v>6</v>
      </c>
    </row>
    <row r="49" spans="1:7" ht="30" x14ac:dyDescent="0.25">
      <c r="A49" s="52" t="s">
        <v>6</v>
      </c>
      <c r="B49" s="52" t="s">
        <v>383</v>
      </c>
      <c r="C49" t="s">
        <v>414</v>
      </c>
      <c r="D49" s="8" t="s">
        <v>413</v>
      </c>
      <c r="E49" s="52" t="s">
        <v>6</v>
      </c>
    </row>
    <row r="50" spans="1:7" ht="60" x14ac:dyDescent="0.25">
      <c r="A50" s="52" t="s">
        <v>6</v>
      </c>
      <c r="B50" s="52" t="s">
        <v>383</v>
      </c>
      <c r="C50" t="s">
        <v>415</v>
      </c>
      <c r="D50" s="8" t="s">
        <v>419</v>
      </c>
      <c r="E50" s="52" t="s">
        <v>6</v>
      </c>
    </row>
    <row r="51" spans="1:7" ht="60" x14ac:dyDescent="0.25">
      <c r="A51" s="52" t="s">
        <v>6</v>
      </c>
      <c r="B51" s="52" t="s">
        <v>383</v>
      </c>
      <c r="C51" t="s">
        <v>417</v>
      </c>
      <c r="D51" s="8" t="s">
        <v>420</v>
      </c>
      <c r="E51" s="52" t="s">
        <v>6</v>
      </c>
    </row>
    <row r="52" spans="1:7" s="13" customFormat="1" ht="45" x14ac:dyDescent="0.25">
      <c r="A52" s="13" t="s">
        <v>9</v>
      </c>
      <c r="B52" s="13" t="s">
        <v>451</v>
      </c>
      <c r="C52" s="13" t="s">
        <v>270</v>
      </c>
      <c r="D52" s="12" t="s">
        <v>469</v>
      </c>
      <c r="E52" s="13" t="s">
        <v>9</v>
      </c>
      <c r="F52" s="14">
        <v>21</v>
      </c>
    </row>
    <row r="53" spans="1:7" s="13" customFormat="1" x14ac:dyDescent="0.25">
      <c r="A53" s="13" t="s">
        <v>9</v>
      </c>
      <c r="C53" s="13" t="s">
        <v>470</v>
      </c>
      <c r="D53" s="12" t="s">
        <v>535</v>
      </c>
      <c r="E53" s="13" t="s">
        <v>9</v>
      </c>
      <c r="F53" s="14">
        <v>6.7000000000000002E-4</v>
      </c>
    </row>
    <row r="54" spans="1:7" ht="18.75" x14ac:dyDescent="0.3">
      <c r="A54" s="3"/>
      <c r="B54" s="4"/>
      <c r="C54" s="4"/>
      <c r="D54" s="3" t="s">
        <v>536</v>
      </c>
      <c r="E54" s="4"/>
      <c r="F54" s="4"/>
      <c r="G54" s="5"/>
    </row>
    <row r="55" spans="1:7" s="13" customFormat="1" ht="30" x14ac:dyDescent="0.25">
      <c r="A55" s="13" t="s">
        <v>9</v>
      </c>
      <c r="B55" s="13" t="s">
        <v>451</v>
      </c>
      <c r="C55" s="13" t="s">
        <v>506</v>
      </c>
      <c r="D55" s="12" t="s">
        <v>497</v>
      </c>
      <c r="E55" s="13" t="s">
        <v>9</v>
      </c>
      <c r="F55" s="14">
        <f>'Tool 14'!F16</f>
        <v>0</v>
      </c>
    </row>
    <row r="56" spans="1:7" ht="18.75" x14ac:dyDescent="0.3">
      <c r="A56" s="3"/>
      <c r="B56" s="4"/>
      <c r="C56" s="4"/>
      <c r="D56" s="3" t="s">
        <v>630</v>
      </c>
      <c r="E56" s="4"/>
      <c r="F56" s="4"/>
      <c r="G56" s="5"/>
    </row>
    <row r="57" spans="1:7" s="13" customFormat="1" ht="30" x14ac:dyDescent="0.25">
      <c r="A57" s="13" t="s">
        <v>9</v>
      </c>
      <c r="B57" s="13" t="s">
        <v>451</v>
      </c>
      <c r="C57" s="13" t="s">
        <v>503</v>
      </c>
      <c r="D57" s="12" t="s">
        <v>502</v>
      </c>
      <c r="E57" s="13" t="s">
        <v>9</v>
      </c>
      <c r="F57" s="14" t="e">
        <f>(F58/F59)*F60*F61+(F62/F63)*F64*F61</f>
        <v>#DIV/0!</v>
      </c>
    </row>
    <row r="58" spans="1:7" s="52" customFormat="1" ht="45" x14ac:dyDescent="0.25">
      <c r="A58" s="56" t="s">
        <v>6</v>
      </c>
      <c r="B58" s="52" t="s">
        <v>383</v>
      </c>
      <c r="C58" s="52" t="s">
        <v>543</v>
      </c>
      <c r="D58" s="8" t="s">
        <v>537</v>
      </c>
      <c r="E58" s="56" t="s">
        <v>6</v>
      </c>
      <c r="F58" s="53"/>
    </row>
    <row r="59" spans="1:7" s="52" customFormat="1" ht="30" x14ac:dyDescent="0.25">
      <c r="A59" s="56" t="s">
        <v>6</v>
      </c>
      <c r="B59" s="52" t="s">
        <v>383</v>
      </c>
      <c r="C59" s="52" t="s">
        <v>544</v>
      </c>
      <c r="D59" s="8" t="s">
        <v>549</v>
      </c>
      <c r="E59" s="56" t="s">
        <v>6</v>
      </c>
      <c r="F59" s="53"/>
    </row>
    <row r="60" spans="1:7" s="52" customFormat="1" ht="45" x14ac:dyDescent="0.25">
      <c r="A60" s="56" t="s">
        <v>6</v>
      </c>
      <c r="B60" s="52" t="s">
        <v>383</v>
      </c>
      <c r="C60" s="52" t="s">
        <v>545</v>
      </c>
      <c r="D60" s="8" t="s">
        <v>538</v>
      </c>
      <c r="E60" s="56" t="s">
        <v>6</v>
      </c>
      <c r="F60" s="53"/>
    </row>
    <row r="61" spans="1:7" s="52" customFormat="1" ht="30" x14ac:dyDescent="0.25">
      <c r="A61" s="56" t="s">
        <v>6</v>
      </c>
      <c r="B61" s="52" t="s">
        <v>383</v>
      </c>
      <c r="C61" s="52" t="s">
        <v>546</v>
      </c>
      <c r="D61" s="8" t="s">
        <v>539</v>
      </c>
      <c r="E61" s="56" t="s">
        <v>6</v>
      </c>
      <c r="F61" s="53"/>
    </row>
    <row r="62" spans="1:7" s="52" customFormat="1" ht="30" x14ac:dyDescent="0.25">
      <c r="A62" s="56" t="s">
        <v>6</v>
      </c>
      <c r="B62" s="52" t="s">
        <v>383</v>
      </c>
      <c r="C62" s="52" t="s">
        <v>547</v>
      </c>
      <c r="D62" s="8" t="s">
        <v>540</v>
      </c>
      <c r="E62" s="56" t="s">
        <v>6</v>
      </c>
      <c r="F62" s="53"/>
    </row>
    <row r="63" spans="1:7" s="52" customFormat="1" ht="30" x14ac:dyDescent="0.25">
      <c r="A63" s="56" t="s">
        <v>6</v>
      </c>
      <c r="B63" s="52" t="s">
        <v>383</v>
      </c>
      <c r="C63" s="52" t="s">
        <v>550</v>
      </c>
      <c r="D63" s="8" t="s">
        <v>541</v>
      </c>
      <c r="E63" s="56" t="s">
        <v>6</v>
      </c>
      <c r="F63" s="53"/>
    </row>
    <row r="64" spans="1:7" s="52" customFormat="1" ht="30" x14ac:dyDescent="0.25">
      <c r="A64" s="56" t="s">
        <v>6</v>
      </c>
      <c r="B64" s="52" t="s">
        <v>383</v>
      </c>
      <c r="C64" s="52" t="s">
        <v>548</v>
      </c>
      <c r="D64" s="8" t="s">
        <v>542</v>
      </c>
      <c r="E64" s="56" t="s">
        <v>6</v>
      </c>
      <c r="F64" s="53"/>
    </row>
    <row r="65" spans="1:7" ht="18.75" x14ac:dyDescent="0.3">
      <c r="A65" s="3"/>
      <c r="B65" s="4"/>
      <c r="C65" s="4"/>
      <c r="D65" s="3" t="s">
        <v>41</v>
      </c>
      <c r="E65" s="4"/>
      <c r="F65" s="4"/>
      <c r="G65" s="5"/>
    </row>
    <row r="66" spans="1:7" s="13" customFormat="1" ht="30" x14ac:dyDescent="0.25">
      <c r="A66" s="13" t="s">
        <v>9</v>
      </c>
      <c r="B66" s="13" t="s">
        <v>451</v>
      </c>
      <c r="C66" s="13" t="s">
        <v>507</v>
      </c>
      <c r="D66" s="12" t="s">
        <v>504</v>
      </c>
      <c r="E66" s="13" t="s">
        <v>9</v>
      </c>
      <c r="F66" s="14">
        <f>F67*F68*SUM('Storage Device Registration'!F5,'Storage Device Registration'!F19)</f>
        <v>18291</v>
      </c>
    </row>
    <row r="67" spans="1:7" s="13" customFormat="1" ht="45" x14ac:dyDescent="0.25">
      <c r="A67" s="13" t="s">
        <v>9</v>
      </c>
      <c r="B67" s="13" t="s">
        <v>451</v>
      </c>
      <c r="C67" s="13" t="s">
        <v>270</v>
      </c>
      <c r="D67" s="12" t="s">
        <v>469</v>
      </c>
      <c r="E67" s="13" t="s">
        <v>9</v>
      </c>
      <c r="F67" s="14">
        <v>21</v>
      </c>
    </row>
    <row r="68" spans="1:7" s="13" customFormat="1" x14ac:dyDescent="0.25">
      <c r="A68" s="13" t="s">
        <v>9</v>
      </c>
      <c r="B68" s="13" t="s">
        <v>451</v>
      </c>
      <c r="C68" s="13" t="s">
        <v>470</v>
      </c>
      <c r="D68" s="12" t="s">
        <v>535</v>
      </c>
      <c r="E68" s="13" t="s">
        <v>9</v>
      </c>
      <c r="F68" s="14">
        <v>6.7000000000000002E-4</v>
      </c>
    </row>
    <row r="69" spans="1:7" ht="18.75" x14ac:dyDescent="0.3">
      <c r="A69" s="3"/>
      <c r="B69" s="4"/>
      <c r="C69" s="4"/>
      <c r="D69" s="3" t="s">
        <v>42</v>
      </c>
      <c r="E69" s="4"/>
      <c r="F69" s="4"/>
      <c r="G69" s="5"/>
    </row>
    <row r="70" spans="1:7" s="13" customFormat="1" ht="45" x14ac:dyDescent="0.25">
      <c r="A70" s="13" t="s">
        <v>9</v>
      </c>
      <c r="B70" s="13" t="s">
        <v>451</v>
      </c>
      <c r="C70" s="13" t="s">
        <v>514</v>
      </c>
      <c r="D70" s="12" t="s">
        <v>513</v>
      </c>
      <c r="E70" s="13" t="s">
        <v>9</v>
      </c>
      <c r="F70" s="14" t="e">
        <f>MIN((F71-F72),(F74-F73))</f>
        <v>#VALUE!</v>
      </c>
    </row>
    <row r="71" spans="1:7" s="13" customFormat="1" ht="45" x14ac:dyDescent="0.25">
      <c r="A71" s="13" t="s">
        <v>9</v>
      </c>
      <c r="B71" s="13" t="s">
        <v>451</v>
      </c>
      <c r="C71" s="13" t="s">
        <v>516</v>
      </c>
      <c r="D71" s="12" t="s">
        <v>515</v>
      </c>
      <c r="E71" s="13" t="s">
        <v>9</v>
      </c>
      <c r="F71" s="14" t="e">
        <f>F29</f>
        <v>#VALUE!</v>
      </c>
    </row>
    <row r="72" spans="1:7" s="13" customFormat="1" ht="30" x14ac:dyDescent="0.25">
      <c r="A72" s="13" t="s">
        <v>9</v>
      </c>
      <c r="B72" s="13" t="s">
        <v>451</v>
      </c>
      <c r="C72" s="13" t="s">
        <v>517</v>
      </c>
      <c r="D72" s="12" t="s">
        <v>518</v>
      </c>
      <c r="E72" s="13" t="s">
        <v>9</v>
      </c>
      <c r="F72" s="14" t="e">
        <f>F36</f>
        <v>#VALUE!</v>
      </c>
    </row>
    <row r="73" spans="1:7" s="13" customFormat="1" ht="60" x14ac:dyDescent="0.25">
      <c r="A73" s="13" t="s">
        <v>9</v>
      </c>
      <c r="B73" s="13" t="s">
        <v>451</v>
      </c>
      <c r="C73" s="13" t="s">
        <v>520</v>
      </c>
      <c r="D73" s="12" t="s">
        <v>519</v>
      </c>
      <c r="E73" s="13" t="s">
        <v>9</v>
      </c>
      <c r="F73" s="14" t="e">
        <f>F39</f>
        <v>#VALUE!</v>
      </c>
    </row>
    <row r="74" spans="1:7" s="13" customFormat="1" ht="45" x14ac:dyDescent="0.25">
      <c r="A74" s="13" t="s">
        <v>9</v>
      </c>
      <c r="B74" s="13" t="s">
        <v>451</v>
      </c>
      <c r="C74" s="13" t="s">
        <v>522</v>
      </c>
      <c r="D74" s="12" t="s">
        <v>521</v>
      </c>
      <c r="E74" s="13" t="s">
        <v>9</v>
      </c>
      <c r="F74" s="13" t="s">
        <v>646</v>
      </c>
    </row>
    <row r="75" spans="1:7" ht="18.75" x14ac:dyDescent="0.3">
      <c r="A75" s="3"/>
      <c r="B75" s="4"/>
      <c r="C75" s="4"/>
      <c r="D75" s="3" t="s">
        <v>43</v>
      </c>
      <c r="E75" s="4"/>
      <c r="F75" s="4"/>
      <c r="G75" s="5"/>
    </row>
    <row r="76" spans="1:7" s="13" customFormat="1" ht="45" x14ac:dyDescent="0.25">
      <c r="A76" s="13" t="s">
        <v>9</v>
      </c>
      <c r="B76" s="13" t="s">
        <v>451</v>
      </c>
      <c r="C76" s="13" t="s">
        <v>514</v>
      </c>
      <c r="D76" s="12" t="s">
        <v>513</v>
      </c>
      <c r="E76" s="13" t="s">
        <v>9</v>
      </c>
      <c r="F76" s="14" t="e">
        <f>MIN((F77-F78),(F80-F79))</f>
        <v>#VALUE!</v>
      </c>
    </row>
    <row r="77" spans="1:7" s="13" customFormat="1" ht="45" x14ac:dyDescent="0.25">
      <c r="A77" s="13" t="s">
        <v>9</v>
      </c>
      <c r="B77" s="13" t="s">
        <v>451</v>
      </c>
      <c r="C77" s="13" t="s">
        <v>516</v>
      </c>
      <c r="D77" s="12" t="s">
        <v>515</v>
      </c>
      <c r="E77" s="13" t="s">
        <v>9</v>
      </c>
      <c r="F77" s="14">
        <f>F34</f>
        <v>264.51599999999996</v>
      </c>
    </row>
    <row r="78" spans="1:7" s="13" customFormat="1" ht="30" x14ac:dyDescent="0.25">
      <c r="A78" s="13" t="s">
        <v>9</v>
      </c>
      <c r="B78" s="13" t="s">
        <v>451</v>
      </c>
      <c r="C78" s="13" t="s">
        <v>517</v>
      </c>
      <c r="D78" s="12" t="s">
        <v>518</v>
      </c>
      <c r="E78" s="13" t="s">
        <v>9</v>
      </c>
      <c r="F78" s="14" t="e">
        <f>F36</f>
        <v>#VALUE!</v>
      </c>
    </row>
    <row r="79" spans="1:7" s="13" customFormat="1" ht="60" x14ac:dyDescent="0.25">
      <c r="A79" s="13" t="s">
        <v>9</v>
      </c>
      <c r="B79" s="13" t="s">
        <v>451</v>
      </c>
      <c r="C79" s="13" t="s">
        <v>520</v>
      </c>
      <c r="D79" s="12" t="s">
        <v>519</v>
      </c>
      <c r="E79" s="13" t="s">
        <v>9</v>
      </c>
      <c r="F79" s="14" t="e">
        <f>F39</f>
        <v>#VALUE!</v>
      </c>
    </row>
    <row r="80" spans="1:7" s="13" customFormat="1" ht="45" x14ac:dyDescent="0.25">
      <c r="A80" s="13" t="s">
        <v>9</v>
      </c>
      <c r="B80" s="13" t="s">
        <v>451</v>
      </c>
      <c r="C80" s="13" t="s">
        <v>522</v>
      </c>
      <c r="D80" s="12" t="s">
        <v>521</v>
      </c>
      <c r="E80" s="13" t="s">
        <v>9</v>
      </c>
      <c r="F80" s="13" t="s">
        <v>646</v>
      </c>
    </row>
    <row r="81" spans="1:7" ht="18.75" x14ac:dyDescent="0.3">
      <c r="A81" s="3"/>
      <c r="B81" s="4"/>
      <c r="C81" s="4"/>
      <c r="D81" s="3" t="s">
        <v>44</v>
      </c>
      <c r="E81" s="4"/>
      <c r="F81" s="4"/>
      <c r="G81" s="5"/>
    </row>
    <row r="82" spans="1:7" s="13" customFormat="1" ht="45" x14ac:dyDescent="0.25">
      <c r="A82" s="13" t="s">
        <v>9</v>
      </c>
      <c r="B82" s="13" t="s">
        <v>451</v>
      </c>
      <c r="C82" s="13" t="s">
        <v>522</v>
      </c>
      <c r="D82" s="12" t="s">
        <v>521</v>
      </c>
      <c r="E82" s="13" t="s">
        <v>9</v>
      </c>
      <c r="F82" s="14">
        <f>F83*F84*F87*F85*F86</f>
        <v>0</v>
      </c>
    </row>
    <row r="83" spans="1:7" x14ac:dyDescent="0.25">
      <c r="A83" s="52" t="s">
        <v>6</v>
      </c>
      <c r="B83" s="52" t="s">
        <v>383</v>
      </c>
      <c r="C83" t="s">
        <v>524</v>
      </c>
      <c r="D83" s="8" t="s">
        <v>523</v>
      </c>
      <c r="E83" s="52" t="s">
        <v>6</v>
      </c>
    </row>
    <row r="84" spans="1:7" ht="30" x14ac:dyDescent="0.25">
      <c r="A84" s="52" t="s">
        <v>6</v>
      </c>
      <c r="B84" s="52" t="s">
        <v>383</v>
      </c>
      <c r="C84" t="s">
        <v>526</v>
      </c>
      <c r="D84" s="8" t="s">
        <v>525</v>
      </c>
      <c r="E84" s="52" t="s">
        <v>6</v>
      </c>
    </row>
    <row r="85" spans="1:7" x14ac:dyDescent="0.25">
      <c r="A85" s="52" t="s">
        <v>6</v>
      </c>
      <c r="B85" s="52" t="s">
        <v>383</v>
      </c>
      <c r="C85" t="s">
        <v>528</v>
      </c>
      <c r="D85" t="s">
        <v>527</v>
      </c>
      <c r="E85" s="52" t="s">
        <v>6</v>
      </c>
    </row>
    <row r="86" spans="1:7" s="13" customFormat="1" ht="45" x14ac:dyDescent="0.25">
      <c r="A86" s="13" t="s">
        <v>9</v>
      </c>
      <c r="B86" s="13" t="s">
        <v>451</v>
      </c>
      <c r="C86" s="13" t="s">
        <v>270</v>
      </c>
      <c r="D86" s="12" t="s">
        <v>469</v>
      </c>
      <c r="E86" s="13" t="s">
        <v>9</v>
      </c>
      <c r="F86" s="14">
        <v>21</v>
      </c>
    </row>
    <row r="87" spans="1:7" s="13" customFormat="1" x14ac:dyDescent="0.25">
      <c r="A87" s="13" t="s">
        <v>9</v>
      </c>
      <c r="B87" s="13" t="s">
        <v>451</v>
      </c>
      <c r="C87" s="13" t="s">
        <v>470</v>
      </c>
      <c r="D87" s="12" t="s">
        <v>535</v>
      </c>
      <c r="E87" s="13" t="s">
        <v>9</v>
      </c>
      <c r="F87" s="14">
        <v>6.7000000000000002E-4</v>
      </c>
    </row>
    <row r="88" spans="1:7" ht="18.75" x14ac:dyDescent="0.3">
      <c r="A88" s="3"/>
      <c r="B88" s="4"/>
      <c r="C88" s="4"/>
      <c r="D88" s="3" t="s">
        <v>45</v>
      </c>
      <c r="E88" s="4"/>
      <c r="F88" s="4"/>
      <c r="G88" s="5"/>
    </row>
    <row r="89" spans="1:7" s="13" customFormat="1" ht="45" x14ac:dyDescent="0.25">
      <c r="A89" s="13" t="s">
        <v>9</v>
      </c>
      <c r="B89" s="13" t="s">
        <v>451</v>
      </c>
      <c r="C89" s="13" t="s">
        <v>522</v>
      </c>
      <c r="D89" s="12" t="s">
        <v>521</v>
      </c>
      <c r="E89" s="13" t="s">
        <v>9</v>
      </c>
      <c r="F89" s="14" t="e">
        <f>((F90*F91)/(F92*F93))*F95*F94</f>
        <v>#DIV/0!</v>
      </c>
    </row>
    <row r="90" spans="1:7" ht="30" x14ac:dyDescent="0.25">
      <c r="A90" s="52" t="s">
        <v>6</v>
      </c>
      <c r="B90" s="52" t="s">
        <v>383</v>
      </c>
      <c r="C90" t="s">
        <v>530</v>
      </c>
      <c r="D90" s="8" t="s">
        <v>529</v>
      </c>
      <c r="E90" s="52" t="s">
        <v>6</v>
      </c>
    </row>
    <row r="91" spans="1:7" s="13" customFormat="1" x14ac:dyDescent="0.25">
      <c r="A91" s="13" t="s">
        <v>9</v>
      </c>
      <c r="B91" s="13" t="s">
        <v>451</v>
      </c>
      <c r="C91" s="13" t="s">
        <v>552</v>
      </c>
      <c r="D91" s="13" t="s">
        <v>551</v>
      </c>
      <c r="E91" s="13" t="s">
        <v>9</v>
      </c>
      <c r="F91" s="14">
        <v>3600</v>
      </c>
    </row>
    <row r="92" spans="1:7" ht="18" customHeight="1" x14ac:dyDescent="0.25">
      <c r="A92" s="52" t="s">
        <v>6</v>
      </c>
      <c r="B92" s="52" t="s">
        <v>383</v>
      </c>
      <c r="C92" t="s">
        <v>532</v>
      </c>
      <c r="D92" t="s">
        <v>531</v>
      </c>
      <c r="E92" s="52" t="s">
        <v>6</v>
      </c>
    </row>
    <row r="93" spans="1:7" ht="30" x14ac:dyDescent="0.25">
      <c r="A93" s="52" t="s">
        <v>6</v>
      </c>
      <c r="B93" s="52" t="s">
        <v>383</v>
      </c>
      <c r="C93" t="s">
        <v>534</v>
      </c>
      <c r="D93" s="8" t="s">
        <v>533</v>
      </c>
      <c r="E93" s="52" t="s">
        <v>6</v>
      </c>
    </row>
    <row r="94" spans="1:7" s="13" customFormat="1" ht="45" x14ac:dyDescent="0.25">
      <c r="A94" s="13" t="s">
        <v>9</v>
      </c>
      <c r="B94" s="13" t="s">
        <v>451</v>
      </c>
      <c r="C94" s="13" t="s">
        <v>270</v>
      </c>
      <c r="D94" s="12" t="s">
        <v>469</v>
      </c>
      <c r="E94" s="13" t="s">
        <v>9</v>
      </c>
      <c r="F94" s="14">
        <v>21</v>
      </c>
    </row>
    <row r="95" spans="1:7" s="13" customFormat="1" x14ac:dyDescent="0.25">
      <c r="A95" s="13" t="s">
        <v>9</v>
      </c>
      <c r="B95" s="13" t="s">
        <v>451</v>
      </c>
      <c r="C95" s="13" t="s">
        <v>470</v>
      </c>
      <c r="D95" s="12" t="s">
        <v>535</v>
      </c>
      <c r="E95" s="13" t="s">
        <v>9</v>
      </c>
      <c r="F95" s="14">
        <v>6.7000000000000002E-4</v>
      </c>
    </row>
  </sheetData>
  <hyperlinks>
    <hyperlink ref="F13" r:id="rId1" xr:uid="{A8E39800-2952-42A5-B468-5E384A753CD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040E0-58F8-4ABA-B588-B776744F8D66}">
  <dimension ref="A1:F29"/>
  <sheetViews>
    <sheetView workbookViewId="0">
      <selection activeCell="F30" sqref="F30"/>
    </sheetView>
  </sheetViews>
  <sheetFormatPr defaultRowHeight="15" x14ac:dyDescent="0.25"/>
  <cols>
    <col min="1" max="1" width="18.140625" bestFit="1" customWidth="1"/>
    <col min="2" max="2" width="16.140625" bestFit="1" customWidth="1"/>
    <col min="3" max="3" width="16" bestFit="1" customWidth="1"/>
    <col min="4" max="4" width="67.85546875" customWidth="1"/>
    <col min="5" max="5" width="29.28515625" bestFit="1" customWidth="1"/>
    <col min="6" max="6" width="60.1406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578</v>
      </c>
      <c r="E2" s="17"/>
      <c r="F2" s="17"/>
    </row>
    <row r="3" spans="1:6" s="18" customFormat="1" ht="18.75" x14ac:dyDescent="0.3">
      <c r="A3" s="16"/>
      <c r="B3" s="16"/>
      <c r="C3" s="17"/>
      <c r="D3" s="16" t="s">
        <v>577</v>
      </c>
      <c r="E3" s="17"/>
      <c r="F3" s="17"/>
    </row>
    <row r="4" spans="1:6" x14ac:dyDescent="0.25">
      <c r="A4" t="s">
        <v>6</v>
      </c>
      <c r="B4" t="s">
        <v>7</v>
      </c>
      <c r="C4" t="s">
        <v>584</v>
      </c>
      <c r="D4" t="s">
        <v>553</v>
      </c>
      <c r="E4" t="s">
        <v>6</v>
      </c>
      <c r="F4" t="s">
        <v>554</v>
      </c>
    </row>
    <row r="5" spans="1:6" s="13" customFormat="1" x14ac:dyDescent="0.25">
      <c r="A5" s="13" t="s">
        <v>9</v>
      </c>
      <c r="B5" s="13" t="s">
        <v>451</v>
      </c>
      <c r="C5" s="13" t="s">
        <v>585</v>
      </c>
      <c r="D5" s="13" t="s">
        <v>586</v>
      </c>
      <c r="E5" s="13" t="s">
        <v>9</v>
      </c>
      <c r="F5" s="14">
        <f>(365/F6)*(F13*F7*F8*(1-EXP(-F8*(F6-F10)))*F11*F12)</f>
        <v>650000</v>
      </c>
    </row>
    <row r="6" spans="1:6" ht="30" x14ac:dyDescent="0.25">
      <c r="A6" t="s">
        <v>6</v>
      </c>
      <c r="B6" t="s">
        <v>383</v>
      </c>
      <c r="C6" t="s">
        <v>583</v>
      </c>
      <c r="D6" s="8" t="s">
        <v>508</v>
      </c>
      <c r="E6" t="s">
        <v>6</v>
      </c>
      <c r="F6" s="11">
        <v>100</v>
      </c>
    </row>
    <row r="7" spans="1:6" ht="30" x14ac:dyDescent="0.25">
      <c r="A7" t="s">
        <v>6</v>
      </c>
      <c r="B7" t="s">
        <v>383</v>
      </c>
      <c r="C7" t="s">
        <v>582</v>
      </c>
      <c r="D7" s="8" t="s">
        <v>509</v>
      </c>
      <c r="E7" t="s">
        <v>6</v>
      </c>
      <c r="F7" s="11">
        <v>10</v>
      </c>
    </row>
    <row r="8" spans="1:6" x14ac:dyDescent="0.25">
      <c r="A8" t="s">
        <v>6</v>
      </c>
      <c r="B8" t="s">
        <v>383</v>
      </c>
      <c r="C8" t="s">
        <v>581</v>
      </c>
      <c r="D8" t="s">
        <v>510</v>
      </c>
      <c r="E8" t="s">
        <v>6</v>
      </c>
      <c r="F8" s="11">
        <v>1</v>
      </c>
    </row>
    <row r="9" spans="1:6" s="13" customFormat="1" x14ac:dyDescent="0.25">
      <c r="A9" s="13" t="s">
        <v>9</v>
      </c>
      <c r="B9" s="13" t="s">
        <v>451</v>
      </c>
      <c r="C9" s="13" t="s">
        <v>309</v>
      </c>
      <c r="D9" s="13" t="s">
        <v>587</v>
      </c>
      <c r="E9" s="13" t="s">
        <v>9</v>
      </c>
      <c r="F9" s="14">
        <v>6.9000000000000006E-2</v>
      </c>
    </row>
    <row r="10" spans="1:6" ht="30" x14ac:dyDescent="0.25">
      <c r="A10" t="s">
        <v>6</v>
      </c>
      <c r="B10" t="s">
        <v>383</v>
      </c>
      <c r="C10" t="s">
        <v>580</v>
      </c>
      <c r="D10" s="8" t="s">
        <v>511</v>
      </c>
      <c r="E10" t="s">
        <v>6</v>
      </c>
      <c r="F10" s="11">
        <v>10</v>
      </c>
    </row>
    <row r="11" spans="1:6" ht="30" x14ac:dyDescent="0.25">
      <c r="A11" t="s">
        <v>6</v>
      </c>
      <c r="B11" t="s">
        <v>383</v>
      </c>
      <c r="C11" t="s">
        <v>579</v>
      </c>
      <c r="D11" s="8" t="s">
        <v>512</v>
      </c>
      <c r="E11" t="s">
        <v>6</v>
      </c>
      <c r="F11" s="11">
        <v>260</v>
      </c>
    </row>
    <row r="12" spans="1:6" ht="30" x14ac:dyDescent="0.25">
      <c r="A12" t="s">
        <v>6</v>
      </c>
      <c r="B12" t="s">
        <v>383</v>
      </c>
      <c r="C12" t="s">
        <v>416</v>
      </c>
      <c r="D12" s="8" t="s">
        <v>571</v>
      </c>
      <c r="E12" t="s">
        <v>6</v>
      </c>
      <c r="F12" s="11">
        <v>25</v>
      </c>
    </row>
    <row r="13" spans="1:6" s="13" customFormat="1" x14ac:dyDescent="0.25">
      <c r="A13" s="13" t="s">
        <v>9</v>
      </c>
      <c r="B13" s="13" t="s">
        <v>451</v>
      </c>
      <c r="C13" s="13" t="s">
        <v>421</v>
      </c>
      <c r="D13" s="12" t="s">
        <v>556</v>
      </c>
      <c r="E13" s="13" t="s">
        <v>9</v>
      </c>
      <c r="F13" s="14">
        <f>F14*(F15/365)</f>
        <v>2.7397260273972601</v>
      </c>
    </row>
    <row r="14" spans="1:6" x14ac:dyDescent="0.25">
      <c r="A14" t="s">
        <v>6</v>
      </c>
      <c r="B14" t="s">
        <v>383</v>
      </c>
      <c r="C14" t="s">
        <v>492</v>
      </c>
      <c r="D14" s="8" t="s">
        <v>491</v>
      </c>
      <c r="E14" t="s">
        <v>6</v>
      </c>
      <c r="F14" s="11">
        <v>100</v>
      </c>
    </row>
    <row r="15" spans="1:6" ht="34.5" customHeight="1" x14ac:dyDescent="0.25">
      <c r="A15" t="s">
        <v>6</v>
      </c>
      <c r="B15" t="s">
        <v>383</v>
      </c>
      <c r="C15" t="s">
        <v>494</v>
      </c>
      <c r="D15" s="8" t="s">
        <v>555</v>
      </c>
      <c r="E15" t="s">
        <v>6</v>
      </c>
      <c r="F15" s="11">
        <v>10</v>
      </c>
    </row>
    <row r="16" spans="1:6" s="18" customFormat="1" ht="18.75" x14ac:dyDescent="0.3">
      <c r="A16" s="16"/>
      <c r="B16" s="16"/>
      <c r="C16" s="17"/>
      <c r="D16" s="16" t="s">
        <v>578</v>
      </c>
      <c r="E16" s="17"/>
      <c r="F16" s="17"/>
    </row>
    <row r="17" spans="1:6" s="18" customFormat="1" ht="18.75" x14ac:dyDescent="0.3">
      <c r="A17" s="16"/>
      <c r="B17" s="16"/>
      <c r="C17" s="17"/>
      <c r="D17" s="16" t="s">
        <v>577</v>
      </c>
      <c r="E17" s="17"/>
      <c r="F17" s="17"/>
    </row>
    <row r="18" spans="1:6" x14ac:dyDescent="0.25">
      <c r="A18" t="s">
        <v>6</v>
      </c>
      <c r="B18" t="s">
        <v>7</v>
      </c>
      <c r="C18" t="s">
        <v>584</v>
      </c>
      <c r="D18" t="s">
        <v>553</v>
      </c>
      <c r="E18" t="s">
        <v>6</v>
      </c>
      <c r="F18" t="s">
        <v>588</v>
      </c>
    </row>
    <row r="19" spans="1:6" s="13" customFormat="1" x14ac:dyDescent="0.25">
      <c r="A19" s="13" t="s">
        <v>9</v>
      </c>
      <c r="B19" s="13" t="s">
        <v>451</v>
      </c>
      <c r="C19" s="13" t="s">
        <v>585</v>
      </c>
      <c r="D19" s="13" t="s">
        <v>586</v>
      </c>
      <c r="E19" s="13" t="s">
        <v>9</v>
      </c>
      <c r="F19" s="14">
        <f>(365/F20)*(F27*F21*F22*(1-EXP(-F22*(F20-F24)))*F25*F26)</f>
        <v>650000</v>
      </c>
    </row>
    <row r="20" spans="1:6" ht="30" x14ac:dyDescent="0.25">
      <c r="A20" t="s">
        <v>6</v>
      </c>
      <c r="B20" t="s">
        <v>383</v>
      </c>
      <c r="C20" t="s">
        <v>583</v>
      </c>
      <c r="D20" s="8" t="s">
        <v>508</v>
      </c>
      <c r="E20" t="s">
        <v>6</v>
      </c>
      <c r="F20" s="11">
        <v>100</v>
      </c>
    </row>
    <row r="21" spans="1:6" ht="30" x14ac:dyDescent="0.25">
      <c r="A21" t="s">
        <v>6</v>
      </c>
      <c r="B21" t="s">
        <v>383</v>
      </c>
      <c r="C21" t="s">
        <v>582</v>
      </c>
      <c r="D21" s="8" t="s">
        <v>509</v>
      </c>
      <c r="E21" t="s">
        <v>6</v>
      </c>
      <c r="F21" s="11">
        <v>10</v>
      </c>
    </row>
    <row r="22" spans="1:6" x14ac:dyDescent="0.25">
      <c r="A22" t="s">
        <v>6</v>
      </c>
      <c r="B22" t="s">
        <v>383</v>
      </c>
      <c r="C22" t="s">
        <v>581</v>
      </c>
      <c r="D22" t="s">
        <v>510</v>
      </c>
      <c r="E22" t="s">
        <v>6</v>
      </c>
      <c r="F22" s="11">
        <v>1</v>
      </c>
    </row>
    <row r="23" spans="1:6" s="13" customFormat="1" x14ac:dyDescent="0.25">
      <c r="A23" s="13" t="s">
        <v>9</v>
      </c>
      <c r="B23" s="13" t="s">
        <v>451</v>
      </c>
      <c r="C23" s="13" t="s">
        <v>309</v>
      </c>
      <c r="D23" s="13" t="s">
        <v>587</v>
      </c>
      <c r="E23" s="13" t="s">
        <v>9</v>
      </c>
      <c r="F23" s="14">
        <v>6.9000000000000006E-2</v>
      </c>
    </row>
    <row r="24" spans="1:6" ht="30" x14ac:dyDescent="0.25">
      <c r="A24" t="s">
        <v>6</v>
      </c>
      <c r="B24" t="s">
        <v>383</v>
      </c>
      <c r="C24" t="s">
        <v>580</v>
      </c>
      <c r="D24" s="8" t="s">
        <v>511</v>
      </c>
      <c r="E24" t="s">
        <v>6</v>
      </c>
      <c r="F24" s="11">
        <v>10</v>
      </c>
    </row>
    <row r="25" spans="1:6" ht="30" x14ac:dyDescent="0.25">
      <c r="A25" t="s">
        <v>6</v>
      </c>
      <c r="B25" t="s">
        <v>383</v>
      </c>
      <c r="C25" t="s">
        <v>579</v>
      </c>
      <c r="D25" s="8" t="s">
        <v>512</v>
      </c>
      <c r="E25" t="s">
        <v>6</v>
      </c>
      <c r="F25" s="11">
        <v>260</v>
      </c>
    </row>
    <row r="26" spans="1:6" ht="30" x14ac:dyDescent="0.25">
      <c r="A26" t="s">
        <v>6</v>
      </c>
      <c r="B26" t="s">
        <v>383</v>
      </c>
      <c r="C26" t="s">
        <v>416</v>
      </c>
      <c r="D26" s="8" t="s">
        <v>571</v>
      </c>
      <c r="E26" t="s">
        <v>6</v>
      </c>
      <c r="F26" s="11">
        <v>25</v>
      </c>
    </row>
    <row r="27" spans="1:6" s="13" customFormat="1" x14ac:dyDescent="0.25">
      <c r="A27" s="13" t="s">
        <v>9</v>
      </c>
      <c r="B27" s="13" t="s">
        <v>451</v>
      </c>
      <c r="C27" s="13" t="s">
        <v>421</v>
      </c>
      <c r="D27" s="12" t="s">
        <v>556</v>
      </c>
      <c r="E27" s="13" t="s">
        <v>9</v>
      </c>
      <c r="F27" s="14">
        <f>F28*(F29/365)</f>
        <v>2.7397260273972601</v>
      </c>
    </row>
    <row r="28" spans="1:6" x14ac:dyDescent="0.25">
      <c r="A28" t="s">
        <v>6</v>
      </c>
      <c r="B28" t="s">
        <v>383</v>
      </c>
      <c r="C28" t="s">
        <v>492</v>
      </c>
      <c r="D28" s="8" t="s">
        <v>491</v>
      </c>
      <c r="E28" t="s">
        <v>6</v>
      </c>
      <c r="F28" s="11">
        <v>100</v>
      </c>
    </row>
    <row r="29" spans="1:6" ht="34.5" customHeight="1" x14ac:dyDescent="0.25">
      <c r="A29" t="s">
        <v>6</v>
      </c>
      <c r="B29" t="s">
        <v>383</v>
      </c>
      <c r="C29" t="s">
        <v>494</v>
      </c>
      <c r="D29" s="8" t="s">
        <v>555</v>
      </c>
      <c r="E29" t="s">
        <v>6</v>
      </c>
      <c r="F29" s="11">
        <v>10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41A80-40EC-4E7F-933C-E9FCE2B481A0}">
  <dimension ref="A1:F44"/>
  <sheetViews>
    <sheetView workbookViewId="0">
      <selection activeCell="A12" sqref="A12:XFD12"/>
    </sheetView>
  </sheetViews>
  <sheetFormatPr defaultRowHeight="15" x14ac:dyDescent="0.25"/>
  <cols>
    <col min="1" max="1" width="18.140625" bestFit="1" customWidth="1"/>
    <col min="2" max="2" width="16.140625" bestFit="1" customWidth="1"/>
    <col min="3" max="3" width="13.42578125" bestFit="1" customWidth="1"/>
    <col min="4" max="4" width="45.85546875" customWidth="1"/>
    <col min="5" max="5" width="29.28515625" bestFit="1" customWidth="1"/>
    <col min="6" max="6" width="61.425781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565</v>
      </c>
      <c r="E2" s="17"/>
      <c r="F2" s="17"/>
    </row>
    <row r="3" spans="1:6" s="18" customFormat="1" ht="18.75" x14ac:dyDescent="0.3">
      <c r="A3" s="16"/>
      <c r="B3" s="16"/>
      <c r="C3" s="17"/>
      <c r="D3" s="16" t="s">
        <v>572</v>
      </c>
      <c r="E3" s="17"/>
      <c r="F3" s="17"/>
    </row>
    <row r="4" spans="1:6" x14ac:dyDescent="0.25">
      <c r="A4" t="s">
        <v>6</v>
      </c>
      <c r="B4" t="s">
        <v>7</v>
      </c>
      <c r="C4" t="s">
        <v>584</v>
      </c>
      <c r="D4" t="s">
        <v>553</v>
      </c>
      <c r="E4" t="s">
        <v>6</v>
      </c>
      <c r="F4" t="s">
        <v>554</v>
      </c>
    </row>
    <row r="5" spans="1:6" s="13" customFormat="1" ht="30" x14ac:dyDescent="0.25">
      <c r="A5" s="13" t="s">
        <v>9</v>
      </c>
      <c r="B5" s="13" t="s">
        <v>451</v>
      </c>
      <c r="C5" s="13" t="s">
        <v>574</v>
      </c>
      <c r="D5" s="12" t="s">
        <v>568</v>
      </c>
      <c r="E5" s="13" t="s">
        <v>9</v>
      </c>
      <c r="F5" s="14" t="e">
        <f>F6*F7*F9*F12*F8</f>
        <v>#VALUE!</v>
      </c>
    </row>
    <row r="6" spans="1:6" ht="30" x14ac:dyDescent="0.25">
      <c r="A6" t="s">
        <v>6</v>
      </c>
      <c r="B6" t="s">
        <v>383</v>
      </c>
      <c r="C6" t="s">
        <v>567</v>
      </c>
      <c r="D6" s="8" t="s">
        <v>471</v>
      </c>
      <c r="E6" t="s">
        <v>6</v>
      </c>
    </row>
    <row r="7" spans="1:6" ht="45" x14ac:dyDescent="0.25">
      <c r="A7" t="s">
        <v>6</v>
      </c>
      <c r="B7" t="s">
        <v>383</v>
      </c>
      <c r="C7" t="s">
        <v>416</v>
      </c>
      <c r="D7" s="8" t="s">
        <v>571</v>
      </c>
      <c r="E7" t="s">
        <v>6</v>
      </c>
    </row>
    <row r="8" spans="1:6" ht="30" x14ac:dyDescent="0.25">
      <c r="A8" t="s">
        <v>6</v>
      </c>
      <c r="B8" t="s">
        <v>383</v>
      </c>
      <c r="C8" t="s">
        <v>473</v>
      </c>
      <c r="D8" s="8" t="s">
        <v>472</v>
      </c>
      <c r="E8" t="s">
        <v>6</v>
      </c>
    </row>
    <row r="9" spans="1:6" s="13" customFormat="1" ht="30" x14ac:dyDescent="0.25">
      <c r="A9" s="13" t="s">
        <v>9</v>
      </c>
      <c r="B9" s="13" t="s">
        <v>451</v>
      </c>
      <c r="C9" s="13" t="s">
        <v>421</v>
      </c>
      <c r="D9" s="12" t="s">
        <v>422</v>
      </c>
      <c r="E9" s="13" t="s">
        <v>9</v>
      </c>
      <c r="F9" s="14">
        <f>F10*(F11/365)</f>
        <v>0</v>
      </c>
    </row>
    <row r="10" spans="1:6" ht="30" x14ac:dyDescent="0.25">
      <c r="A10" t="s">
        <v>6</v>
      </c>
      <c r="B10" t="s">
        <v>383</v>
      </c>
      <c r="C10" t="s">
        <v>492</v>
      </c>
      <c r="D10" s="8" t="s">
        <v>491</v>
      </c>
      <c r="E10" t="s">
        <v>6</v>
      </c>
    </row>
    <row r="11" spans="1:6" ht="34.5" customHeight="1" x14ac:dyDescent="0.25">
      <c r="A11" t="s">
        <v>6</v>
      </c>
      <c r="B11" t="s">
        <v>383</v>
      </c>
      <c r="C11" t="s">
        <v>494</v>
      </c>
      <c r="D11" s="8" t="s">
        <v>493</v>
      </c>
      <c r="E11" t="s">
        <v>6</v>
      </c>
    </row>
    <row r="12" spans="1:6" s="54" customFormat="1" ht="90" x14ac:dyDescent="0.25">
      <c r="A12" s="54" t="s">
        <v>6</v>
      </c>
      <c r="B12" s="54" t="s">
        <v>209</v>
      </c>
      <c r="D12" s="55" t="s">
        <v>570</v>
      </c>
      <c r="E12" s="54" t="s">
        <v>9</v>
      </c>
      <c r="F12" s="55" t="s">
        <v>589</v>
      </c>
    </row>
    <row r="13" spans="1:6" s="13" customFormat="1" ht="60" x14ac:dyDescent="0.25">
      <c r="A13" s="13" t="s">
        <v>9</v>
      </c>
      <c r="B13" s="13" t="s">
        <v>451</v>
      </c>
      <c r="C13" s="13" t="s">
        <v>475</v>
      </c>
      <c r="D13" s="12" t="s">
        <v>476</v>
      </c>
      <c r="E13" s="13" t="s">
        <v>9</v>
      </c>
      <c r="F13" s="14" t="e">
        <f>ABS(F15*(1-(F16/100))+(F17*F15))*ABS(((1-F18)/F19))*F20</f>
        <v>#DIV/0!</v>
      </c>
    </row>
    <row r="14" spans="1:6" s="13" customFormat="1" ht="63" x14ac:dyDescent="0.25">
      <c r="A14" s="13" t="s">
        <v>9</v>
      </c>
      <c r="B14" s="13" t="s">
        <v>451</v>
      </c>
      <c r="C14" s="13" t="s">
        <v>478</v>
      </c>
      <c r="D14" s="12" t="s">
        <v>477</v>
      </c>
      <c r="E14" s="13" t="s">
        <v>9</v>
      </c>
      <c r="F14" s="14" t="e">
        <f>(F21/F22)*F23*F20</f>
        <v>#DIV/0!</v>
      </c>
    </row>
    <row r="15" spans="1:6" ht="30" x14ac:dyDescent="0.25">
      <c r="A15" t="s">
        <v>6</v>
      </c>
      <c r="B15" t="s">
        <v>383</v>
      </c>
      <c r="C15" t="s">
        <v>480</v>
      </c>
      <c r="D15" s="8" t="s">
        <v>479</v>
      </c>
      <c r="E15" t="s">
        <v>6</v>
      </c>
    </row>
    <row r="16" spans="1:6" ht="18" customHeight="1" x14ac:dyDescent="0.25">
      <c r="A16" t="s">
        <v>6</v>
      </c>
      <c r="B16" t="s">
        <v>383</v>
      </c>
      <c r="C16" t="s">
        <v>482</v>
      </c>
      <c r="D16" t="s">
        <v>481</v>
      </c>
      <c r="E16" t="s">
        <v>6</v>
      </c>
    </row>
    <row r="17" spans="1:6" x14ac:dyDescent="0.25">
      <c r="A17" t="s">
        <v>6</v>
      </c>
      <c r="B17" t="s">
        <v>383</v>
      </c>
      <c r="C17" t="s">
        <v>484</v>
      </c>
      <c r="D17" t="s">
        <v>483</v>
      </c>
      <c r="E17" t="s">
        <v>6</v>
      </c>
    </row>
    <row r="18" spans="1:6" ht="30" x14ac:dyDescent="0.25">
      <c r="A18" t="s">
        <v>6</v>
      </c>
      <c r="B18" t="s">
        <v>383</v>
      </c>
      <c r="C18" t="s">
        <v>486</v>
      </c>
      <c r="D18" s="8" t="s">
        <v>485</v>
      </c>
      <c r="E18" t="s">
        <v>6</v>
      </c>
    </row>
    <row r="19" spans="1:6" ht="30" x14ac:dyDescent="0.25">
      <c r="A19" t="s">
        <v>6</v>
      </c>
      <c r="B19" t="s">
        <v>383</v>
      </c>
      <c r="C19" t="s">
        <v>488</v>
      </c>
      <c r="D19" s="8" t="s">
        <v>487</v>
      </c>
      <c r="E19" t="s">
        <v>6</v>
      </c>
    </row>
    <row r="20" spans="1:6" ht="30" x14ac:dyDescent="0.25">
      <c r="A20" t="s">
        <v>6</v>
      </c>
      <c r="B20" t="s">
        <v>383</v>
      </c>
      <c r="C20" t="s">
        <v>490</v>
      </c>
      <c r="D20" s="8" t="s">
        <v>489</v>
      </c>
      <c r="E20" t="s">
        <v>6</v>
      </c>
    </row>
    <row r="21" spans="1:6" ht="34.5" customHeight="1" x14ac:dyDescent="0.25">
      <c r="A21" t="s">
        <v>6</v>
      </c>
      <c r="B21" t="s">
        <v>383</v>
      </c>
      <c r="C21" t="s">
        <v>412</v>
      </c>
      <c r="D21" s="8" t="s">
        <v>407</v>
      </c>
      <c r="E21" t="s">
        <v>6</v>
      </c>
    </row>
    <row r="22" spans="1:6" ht="45" x14ac:dyDescent="0.25">
      <c r="A22" t="s">
        <v>6</v>
      </c>
      <c r="B22" t="s">
        <v>383</v>
      </c>
      <c r="C22" t="s">
        <v>411</v>
      </c>
      <c r="D22" s="8" t="s">
        <v>408</v>
      </c>
      <c r="E22" t="s">
        <v>6</v>
      </c>
    </row>
    <row r="23" spans="1:6" ht="60" x14ac:dyDescent="0.25">
      <c r="A23" t="s">
        <v>6</v>
      </c>
      <c r="B23" t="s">
        <v>383</v>
      </c>
      <c r="C23" t="s">
        <v>410</v>
      </c>
      <c r="D23" s="8" t="s">
        <v>409</v>
      </c>
      <c r="E23" t="s">
        <v>6</v>
      </c>
    </row>
    <row r="24" spans="1:6" s="18" customFormat="1" ht="18.75" x14ac:dyDescent="0.3">
      <c r="A24" s="16"/>
      <c r="B24" s="16"/>
      <c r="C24" s="17"/>
      <c r="D24" s="16" t="s">
        <v>565</v>
      </c>
      <c r="E24" s="17"/>
      <c r="F24" s="17"/>
    </row>
    <row r="25" spans="1:6" x14ac:dyDescent="0.25">
      <c r="A25" t="s">
        <v>6</v>
      </c>
      <c r="B25" t="s">
        <v>7</v>
      </c>
      <c r="C25" t="s">
        <v>584</v>
      </c>
      <c r="D25" t="s">
        <v>553</v>
      </c>
      <c r="E25" t="s">
        <v>6</v>
      </c>
      <c r="F25" t="s">
        <v>588</v>
      </c>
    </row>
    <row r="26" spans="1:6" s="13" customFormat="1" ht="30" x14ac:dyDescent="0.25">
      <c r="A26" s="13" t="s">
        <v>9</v>
      </c>
      <c r="B26" s="13" t="s">
        <v>451</v>
      </c>
      <c r="C26" s="13" t="s">
        <v>569</v>
      </c>
      <c r="D26" s="12" t="s">
        <v>568</v>
      </c>
      <c r="E26" s="13" t="s">
        <v>9</v>
      </c>
      <c r="F26" s="14" t="e">
        <f>F27*F28*F30*F33*F29</f>
        <v>#VALUE!</v>
      </c>
    </row>
    <row r="27" spans="1:6" ht="30" x14ac:dyDescent="0.25">
      <c r="A27" t="s">
        <v>6</v>
      </c>
      <c r="B27" t="s">
        <v>383</v>
      </c>
      <c r="C27" t="s">
        <v>567</v>
      </c>
      <c r="D27" s="8" t="s">
        <v>471</v>
      </c>
      <c r="E27" t="s">
        <v>6</v>
      </c>
    </row>
    <row r="28" spans="1:6" ht="45" x14ac:dyDescent="0.25">
      <c r="A28" t="s">
        <v>6</v>
      </c>
      <c r="B28" t="s">
        <v>383</v>
      </c>
      <c r="C28" t="s">
        <v>416</v>
      </c>
      <c r="D28" s="8" t="s">
        <v>571</v>
      </c>
      <c r="E28" t="s">
        <v>6</v>
      </c>
    </row>
    <row r="29" spans="1:6" ht="30" x14ac:dyDescent="0.25">
      <c r="A29" t="s">
        <v>6</v>
      </c>
      <c r="B29" t="s">
        <v>383</v>
      </c>
      <c r="C29" t="s">
        <v>473</v>
      </c>
      <c r="D29" s="8" t="s">
        <v>472</v>
      </c>
      <c r="E29" t="s">
        <v>6</v>
      </c>
    </row>
    <row r="30" spans="1:6" s="13" customFormat="1" ht="30" x14ac:dyDescent="0.25">
      <c r="A30" s="13" t="s">
        <v>9</v>
      </c>
      <c r="B30" s="13" t="s">
        <v>451</v>
      </c>
      <c r="C30" s="13" t="s">
        <v>421</v>
      </c>
      <c r="D30" s="12" t="s">
        <v>422</v>
      </c>
      <c r="E30" s="13" t="s">
        <v>9</v>
      </c>
      <c r="F30" s="14">
        <f>F31*(F32/365)</f>
        <v>0</v>
      </c>
    </row>
    <row r="31" spans="1:6" ht="30" x14ac:dyDescent="0.25">
      <c r="A31" t="s">
        <v>6</v>
      </c>
      <c r="B31" t="s">
        <v>383</v>
      </c>
      <c r="C31" t="s">
        <v>492</v>
      </c>
      <c r="D31" s="8" t="s">
        <v>491</v>
      </c>
      <c r="E31" t="s">
        <v>6</v>
      </c>
    </row>
    <row r="32" spans="1:6" ht="34.5" customHeight="1" x14ac:dyDescent="0.25">
      <c r="A32" t="s">
        <v>6</v>
      </c>
      <c r="B32" t="s">
        <v>383</v>
      </c>
      <c r="C32" t="s">
        <v>494</v>
      </c>
      <c r="D32" s="8" t="s">
        <v>493</v>
      </c>
      <c r="E32" t="s">
        <v>6</v>
      </c>
    </row>
    <row r="33" spans="1:6" s="54" customFormat="1" ht="90" x14ac:dyDescent="0.25">
      <c r="A33" s="54" t="s">
        <v>6</v>
      </c>
      <c r="B33" s="54" t="s">
        <v>209</v>
      </c>
      <c r="D33" s="55" t="s">
        <v>570</v>
      </c>
      <c r="E33" s="54" t="s">
        <v>9</v>
      </c>
      <c r="F33" s="55" t="s">
        <v>590</v>
      </c>
    </row>
    <row r="34" spans="1:6" s="13" customFormat="1" ht="60" x14ac:dyDescent="0.25">
      <c r="A34" s="13" t="s">
        <v>9</v>
      </c>
      <c r="B34" s="13" t="s">
        <v>451</v>
      </c>
      <c r="C34" s="13" t="s">
        <v>475</v>
      </c>
      <c r="D34" s="12" t="s">
        <v>476</v>
      </c>
      <c r="E34" s="13" t="s">
        <v>9</v>
      </c>
      <c r="F34" s="14" t="e">
        <f>ABS(F36*(1-(F37/100))+(F38*F36))*ABS(((1-F39)/F40))*F41</f>
        <v>#DIV/0!</v>
      </c>
    </row>
    <row r="35" spans="1:6" s="13" customFormat="1" ht="63" x14ac:dyDescent="0.25">
      <c r="A35" s="13" t="s">
        <v>9</v>
      </c>
      <c r="B35" s="13" t="s">
        <v>451</v>
      </c>
      <c r="C35" s="13" t="s">
        <v>478</v>
      </c>
      <c r="D35" s="12" t="s">
        <v>477</v>
      </c>
      <c r="E35" s="13" t="s">
        <v>9</v>
      </c>
      <c r="F35" s="14" t="e">
        <f>(F42/F43)*F44*F41</f>
        <v>#DIV/0!</v>
      </c>
    </row>
    <row r="36" spans="1:6" ht="30" x14ac:dyDescent="0.25">
      <c r="A36" t="s">
        <v>6</v>
      </c>
      <c r="B36" t="s">
        <v>383</v>
      </c>
      <c r="C36" t="s">
        <v>480</v>
      </c>
      <c r="D36" s="8" t="s">
        <v>479</v>
      </c>
      <c r="E36" t="s">
        <v>6</v>
      </c>
    </row>
    <row r="37" spans="1:6" ht="18" customHeight="1" x14ac:dyDescent="0.25">
      <c r="A37" t="s">
        <v>6</v>
      </c>
      <c r="B37" t="s">
        <v>383</v>
      </c>
      <c r="C37" t="s">
        <v>482</v>
      </c>
      <c r="D37" t="s">
        <v>481</v>
      </c>
      <c r="E37" t="s">
        <v>6</v>
      </c>
    </row>
    <row r="38" spans="1:6" x14ac:dyDescent="0.25">
      <c r="A38" t="s">
        <v>6</v>
      </c>
      <c r="B38" t="s">
        <v>383</v>
      </c>
      <c r="C38" t="s">
        <v>484</v>
      </c>
      <c r="D38" t="s">
        <v>483</v>
      </c>
      <c r="E38" t="s">
        <v>6</v>
      </c>
    </row>
    <row r="39" spans="1:6" ht="30" x14ac:dyDescent="0.25">
      <c r="A39" t="s">
        <v>6</v>
      </c>
      <c r="B39" t="s">
        <v>383</v>
      </c>
      <c r="C39" t="s">
        <v>486</v>
      </c>
      <c r="D39" s="8" t="s">
        <v>485</v>
      </c>
      <c r="E39" t="s">
        <v>6</v>
      </c>
    </row>
    <row r="40" spans="1:6" ht="30" x14ac:dyDescent="0.25">
      <c r="A40" t="s">
        <v>6</v>
      </c>
      <c r="B40" t="s">
        <v>383</v>
      </c>
      <c r="C40" t="s">
        <v>488</v>
      </c>
      <c r="D40" s="8" t="s">
        <v>487</v>
      </c>
      <c r="E40" t="s">
        <v>6</v>
      </c>
    </row>
    <row r="41" spans="1:6" ht="30" x14ac:dyDescent="0.25">
      <c r="A41" t="s">
        <v>6</v>
      </c>
      <c r="B41" t="s">
        <v>383</v>
      </c>
      <c r="C41" t="s">
        <v>490</v>
      </c>
      <c r="D41" s="8" t="s">
        <v>489</v>
      </c>
      <c r="E41" t="s">
        <v>6</v>
      </c>
    </row>
    <row r="42" spans="1:6" ht="34.5" customHeight="1" x14ac:dyDescent="0.25">
      <c r="A42" t="s">
        <v>6</v>
      </c>
      <c r="B42" t="s">
        <v>383</v>
      </c>
      <c r="C42" t="s">
        <v>412</v>
      </c>
      <c r="D42" s="8" t="s">
        <v>407</v>
      </c>
      <c r="E42" t="s">
        <v>6</v>
      </c>
    </row>
    <row r="43" spans="1:6" ht="45" x14ac:dyDescent="0.25">
      <c r="A43" t="s">
        <v>6</v>
      </c>
      <c r="B43" t="s">
        <v>383</v>
      </c>
      <c r="C43" t="s">
        <v>411</v>
      </c>
      <c r="D43" s="8" t="s">
        <v>408</v>
      </c>
      <c r="E43" t="s">
        <v>6</v>
      </c>
    </row>
    <row r="44" spans="1:6" ht="60" x14ac:dyDescent="0.25">
      <c r="A44" t="s">
        <v>6</v>
      </c>
      <c r="B44" t="s">
        <v>383</v>
      </c>
      <c r="C44" t="s">
        <v>410</v>
      </c>
      <c r="D44" s="8" t="s">
        <v>409</v>
      </c>
      <c r="E44" t="s">
        <v>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8C8E0-1D23-4234-8043-FDCCD621AF22}">
  <dimension ref="A1:F16"/>
  <sheetViews>
    <sheetView workbookViewId="0">
      <selection activeCell="F19" sqref="F19"/>
    </sheetView>
  </sheetViews>
  <sheetFormatPr defaultRowHeight="15" x14ac:dyDescent="0.25"/>
  <cols>
    <col min="1" max="1" width="18.140625" bestFit="1" customWidth="1"/>
    <col min="2" max="2" width="16.140625" bestFit="1" customWidth="1"/>
    <col min="3" max="3" width="14.85546875" bestFit="1" customWidth="1"/>
    <col min="4" max="4" width="46.85546875" customWidth="1"/>
    <col min="5" max="5" width="29.28515625" bestFit="1" customWidth="1"/>
    <col min="6" max="6" width="64.710937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565</v>
      </c>
      <c r="E2" s="17"/>
      <c r="F2" s="17"/>
    </row>
    <row r="3" spans="1:6" s="18" customFormat="1" ht="18.75" x14ac:dyDescent="0.3">
      <c r="A3" s="16"/>
      <c r="B3" s="16"/>
      <c r="C3" s="17"/>
      <c r="D3" s="16" t="s">
        <v>573</v>
      </c>
      <c r="E3" s="17"/>
      <c r="F3" s="17"/>
    </row>
    <row r="4" spans="1:6" x14ac:dyDescent="0.25">
      <c r="A4" t="s">
        <v>6</v>
      </c>
      <c r="B4" t="s">
        <v>7</v>
      </c>
      <c r="C4" t="s">
        <v>584</v>
      </c>
      <c r="D4" t="s">
        <v>553</v>
      </c>
      <c r="E4" t="s">
        <v>6</v>
      </c>
      <c r="F4" t="s">
        <v>554</v>
      </c>
    </row>
    <row r="5" spans="1:6" s="13" customFormat="1" ht="30" x14ac:dyDescent="0.25">
      <c r="A5" s="13" t="s">
        <v>9</v>
      </c>
      <c r="B5" s="13" t="s">
        <v>451</v>
      </c>
      <c r="C5" s="13" t="s">
        <v>574</v>
      </c>
      <c r="D5" s="12" t="s">
        <v>575</v>
      </c>
      <c r="E5" s="13" t="s">
        <v>9</v>
      </c>
      <c r="F5" s="14">
        <f>F7*F6*F8*F9</f>
        <v>10000</v>
      </c>
    </row>
    <row r="6" spans="1:6" ht="45" x14ac:dyDescent="0.25">
      <c r="A6" t="s">
        <v>6</v>
      </c>
      <c r="B6" t="s">
        <v>383</v>
      </c>
      <c r="C6" t="s">
        <v>416</v>
      </c>
      <c r="D6" s="8" t="s">
        <v>571</v>
      </c>
      <c r="E6" t="s">
        <v>6</v>
      </c>
      <c r="F6" s="11">
        <v>25</v>
      </c>
    </row>
    <row r="7" spans="1:6" x14ac:dyDescent="0.25">
      <c r="A7" t="s">
        <v>6</v>
      </c>
      <c r="B7" t="s">
        <v>383</v>
      </c>
      <c r="C7" t="s">
        <v>567</v>
      </c>
      <c r="D7" s="8" t="s">
        <v>413</v>
      </c>
      <c r="E7" t="s">
        <v>6</v>
      </c>
      <c r="F7" s="11">
        <v>1</v>
      </c>
    </row>
    <row r="8" spans="1:6" ht="45" x14ac:dyDescent="0.25">
      <c r="A8" t="s">
        <v>6</v>
      </c>
      <c r="B8" t="s">
        <v>383</v>
      </c>
      <c r="C8" t="s">
        <v>415</v>
      </c>
      <c r="D8" s="8" t="s">
        <v>419</v>
      </c>
      <c r="E8" t="s">
        <v>6</v>
      </c>
      <c r="F8" s="11">
        <v>20</v>
      </c>
    </row>
    <row r="9" spans="1:6" ht="60" x14ac:dyDescent="0.25">
      <c r="A9" t="s">
        <v>6</v>
      </c>
      <c r="B9" t="s">
        <v>383</v>
      </c>
      <c r="C9" t="s">
        <v>417</v>
      </c>
      <c r="D9" s="8" t="s">
        <v>420</v>
      </c>
      <c r="E9" t="s">
        <v>6</v>
      </c>
      <c r="F9" s="11">
        <v>20</v>
      </c>
    </row>
    <row r="10" spans="1:6" s="18" customFormat="1" ht="18.75" x14ac:dyDescent="0.3">
      <c r="A10" s="16"/>
      <c r="B10" s="16"/>
      <c r="C10" s="17"/>
      <c r="D10" s="16" t="s">
        <v>565</v>
      </c>
      <c r="E10" s="17"/>
      <c r="F10" s="17"/>
    </row>
    <row r="11" spans="1:6" x14ac:dyDescent="0.25">
      <c r="A11" t="s">
        <v>6</v>
      </c>
      <c r="B11" t="s">
        <v>7</v>
      </c>
      <c r="D11" t="s">
        <v>553</v>
      </c>
      <c r="E11" t="s">
        <v>6</v>
      </c>
      <c r="F11" t="s">
        <v>588</v>
      </c>
    </row>
    <row r="12" spans="1:6" s="13" customFormat="1" ht="30" x14ac:dyDescent="0.25">
      <c r="A12" s="13" t="s">
        <v>9</v>
      </c>
      <c r="B12" s="13" t="s">
        <v>451</v>
      </c>
      <c r="C12" s="13" t="s">
        <v>574</v>
      </c>
      <c r="D12" s="12" t="s">
        <v>575</v>
      </c>
      <c r="E12" s="13" t="s">
        <v>9</v>
      </c>
      <c r="F12" s="14">
        <f>F14*F13*F15*F16</f>
        <v>10000</v>
      </c>
    </row>
    <row r="13" spans="1:6" ht="45" x14ac:dyDescent="0.25">
      <c r="A13" t="s">
        <v>6</v>
      </c>
      <c r="B13" t="s">
        <v>383</v>
      </c>
      <c r="C13" t="s">
        <v>416</v>
      </c>
      <c r="D13" s="8" t="s">
        <v>571</v>
      </c>
      <c r="E13" t="s">
        <v>6</v>
      </c>
      <c r="F13" s="11">
        <v>25</v>
      </c>
    </row>
    <row r="14" spans="1:6" x14ac:dyDescent="0.25">
      <c r="A14" t="s">
        <v>6</v>
      </c>
      <c r="B14" t="s">
        <v>383</v>
      </c>
      <c r="C14" t="s">
        <v>567</v>
      </c>
      <c r="D14" s="8" t="s">
        <v>413</v>
      </c>
      <c r="E14" t="s">
        <v>6</v>
      </c>
      <c r="F14" s="11">
        <v>1</v>
      </c>
    </row>
    <row r="15" spans="1:6" ht="45" x14ac:dyDescent="0.25">
      <c r="A15" t="s">
        <v>6</v>
      </c>
      <c r="B15" t="s">
        <v>383</v>
      </c>
      <c r="C15" t="s">
        <v>415</v>
      </c>
      <c r="D15" s="8" t="s">
        <v>419</v>
      </c>
      <c r="E15" t="s">
        <v>6</v>
      </c>
      <c r="F15" s="11">
        <v>20</v>
      </c>
    </row>
    <row r="16" spans="1:6" ht="60" x14ac:dyDescent="0.25">
      <c r="A16" t="s">
        <v>6</v>
      </c>
      <c r="B16" t="s">
        <v>383</v>
      </c>
      <c r="C16" t="s">
        <v>417</v>
      </c>
      <c r="D16" s="8" t="s">
        <v>420</v>
      </c>
      <c r="E16" t="s">
        <v>6</v>
      </c>
      <c r="F16" s="11">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0775-06E6-47B4-824F-E93C1D4975B4}">
  <dimension ref="A1:F42"/>
  <sheetViews>
    <sheetView topLeftCell="A13" workbookViewId="0">
      <selection activeCell="E31" sqref="E31"/>
    </sheetView>
  </sheetViews>
  <sheetFormatPr defaultRowHeight="15" x14ac:dyDescent="0.25"/>
  <cols>
    <col min="1" max="1" width="18.140625" bestFit="1" customWidth="1"/>
    <col min="2" max="2" width="16.140625" bestFit="1" customWidth="1"/>
    <col min="3" max="3" width="13.42578125" bestFit="1" customWidth="1"/>
    <col min="4" max="4" width="53.7109375" bestFit="1" customWidth="1"/>
    <col min="5" max="5" width="29.28515625" bestFit="1" customWidth="1"/>
    <col min="6" max="6" width="59"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566</v>
      </c>
      <c r="E2" s="17"/>
      <c r="F2" s="17"/>
    </row>
    <row r="3" spans="1:6" s="18" customFormat="1" ht="18.75" x14ac:dyDescent="0.3">
      <c r="A3" s="16"/>
      <c r="B3" s="16"/>
      <c r="C3" s="17"/>
      <c r="D3" s="16" t="s">
        <v>560</v>
      </c>
      <c r="E3" s="17"/>
      <c r="F3" s="17"/>
    </row>
    <row r="4" spans="1:6" x14ac:dyDescent="0.25">
      <c r="A4" t="s">
        <v>6</v>
      </c>
      <c r="B4" t="s">
        <v>7</v>
      </c>
      <c r="C4" t="s">
        <v>584</v>
      </c>
      <c r="D4" t="s">
        <v>553</v>
      </c>
      <c r="E4" t="s">
        <v>6</v>
      </c>
      <c r="F4" t="s">
        <v>554</v>
      </c>
    </row>
    <row r="5" spans="1:6" s="13" customFormat="1" ht="30" x14ac:dyDescent="0.25">
      <c r="A5" s="13" t="s">
        <v>9</v>
      </c>
      <c r="B5" s="13" t="s">
        <v>451</v>
      </c>
      <c r="C5" s="13" t="s">
        <v>558</v>
      </c>
      <c r="D5" s="12" t="s">
        <v>559</v>
      </c>
      <c r="E5" s="13" t="s">
        <v>9</v>
      </c>
      <c r="F5" s="14" t="e">
        <f>F7*F8*F11*F6</f>
        <v>#VALUE!</v>
      </c>
    </row>
    <row r="6" spans="1:6" x14ac:dyDescent="0.25">
      <c r="A6" t="s">
        <v>6</v>
      </c>
      <c r="B6" t="s">
        <v>383</v>
      </c>
      <c r="C6" t="s">
        <v>414</v>
      </c>
      <c r="D6" s="8" t="s">
        <v>413</v>
      </c>
      <c r="E6" t="s">
        <v>6</v>
      </c>
      <c r="F6" s="11">
        <v>0.5</v>
      </c>
    </row>
    <row r="7" spans="1:6" ht="30" x14ac:dyDescent="0.25">
      <c r="A7" t="s">
        <v>6</v>
      </c>
      <c r="B7" t="s">
        <v>383</v>
      </c>
      <c r="C7" t="s">
        <v>416</v>
      </c>
      <c r="D7" s="8" t="s">
        <v>571</v>
      </c>
      <c r="E7" t="s">
        <v>6</v>
      </c>
      <c r="F7" s="11">
        <v>25</v>
      </c>
    </row>
    <row r="8" spans="1:6" s="13" customFormat="1" ht="30" x14ac:dyDescent="0.25">
      <c r="A8" s="13" t="s">
        <v>9</v>
      </c>
      <c r="B8" s="13" t="s">
        <v>451</v>
      </c>
      <c r="C8" s="13" t="s">
        <v>421</v>
      </c>
      <c r="D8" s="12" t="s">
        <v>556</v>
      </c>
      <c r="E8" s="13" t="s">
        <v>9</v>
      </c>
      <c r="F8" s="14">
        <f>F9*(F10/365)</f>
        <v>27.397260273972602</v>
      </c>
    </row>
    <row r="9" spans="1:6" ht="30" x14ac:dyDescent="0.25">
      <c r="A9" t="s">
        <v>6</v>
      </c>
      <c r="B9" t="s">
        <v>383</v>
      </c>
      <c r="C9" t="s">
        <v>492</v>
      </c>
      <c r="D9" s="8" t="s">
        <v>491</v>
      </c>
      <c r="E9" s="52" t="s">
        <v>6</v>
      </c>
      <c r="F9" s="11">
        <v>100</v>
      </c>
    </row>
    <row r="10" spans="1:6" ht="34.5" customHeight="1" x14ac:dyDescent="0.25">
      <c r="A10" t="s">
        <v>6</v>
      </c>
      <c r="B10" t="s">
        <v>383</v>
      </c>
      <c r="C10" t="s">
        <v>494</v>
      </c>
      <c r="D10" s="8" t="s">
        <v>555</v>
      </c>
      <c r="E10" s="52" t="s">
        <v>6</v>
      </c>
      <c r="F10" s="11">
        <v>100</v>
      </c>
    </row>
    <row r="11" spans="1:6" s="54" customFormat="1" ht="75" x14ac:dyDescent="0.25">
      <c r="A11" s="54" t="s">
        <v>6</v>
      </c>
      <c r="B11" s="54" t="s">
        <v>209</v>
      </c>
      <c r="D11" s="55" t="s">
        <v>570</v>
      </c>
      <c r="E11" s="54" t="s">
        <v>9</v>
      </c>
      <c r="F11" s="55" t="s">
        <v>591</v>
      </c>
    </row>
    <row r="12" spans="1:6" s="13" customFormat="1" ht="45" x14ac:dyDescent="0.25">
      <c r="A12" s="13" t="s">
        <v>9</v>
      </c>
      <c r="B12" s="13" t="s">
        <v>451</v>
      </c>
      <c r="C12" s="13" t="s">
        <v>475</v>
      </c>
      <c r="D12" s="12" t="s">
        <v>561</v>
      </c>
      <c r="E12" s="13" t="s">
        <v>9</v>
      </c>
      <c r="F12" s="14">
        <f>ABS(F14*(1-(F15/100))+(F16*F14))*ABS(((1-F17)/F18))*F22</f>
        <v>0</v>
      </c>
    </row>
    <row r="13" spans="1:6" s="13" customFormat="1" ht="45" x14ac:dyDescent="0.25">
      <c r="A13" s="13" t="s">
        <v>9</v>
      </c>
      <c r="B13" s="13" t="s">
        <v>451</v>
      </c>
      <c r="C13" s="13" t="s">
        <v>478</v>
      </c>
      <c r="D13" s="12" t="s">
        <v>562</v>
      </c>
      <c r="E13" s="13" t="s">
        <v>9</v>
      </c>
      <c r="F13" s="14">
        <f>(F19/F20)*F21*F22</f>
        <v>1</v>
      </c>
    </row>
    <row r="14" spans="1:6" ht="30" x14ac:dyDescent="0.25">
      <c r="A14" t="s">
        <v>6</v>
      </c>
      <c r="B14" s="52" t="s">
        <v>383</v>
      </c>
      <c r="C14" t="s">
        <v>480</v>
      </c>
      <c r="D14" s="8" t="s">
        <v>479</v>
      </c>
      <c r="E14" s="52" t="s">
        <v>6</v>
      </c>
      <c r="F14" s="11">
        <v>1</v>
      </c>
    </row>
    <row r="15" spans="1:6" ht="18" customHeight="1" x14ac:dyDescent="0.25">
      <c r="A15" t="s">
        <v>6</v>
      </c>
      <c r="B15" s="52" t="s">
        <v>383</v>
      </c>
      <c r="C15" t="s">
        <v>482</v>
      </c>
      <c r="D15" t="s">
        <v>481</v>
      </c>
      <c r="E15" s="52" t="s">
        <v>6</v>
      </c>
      <c r="F15" s="11">
        <v>1</v>
      </c>
    </row>
    <row r="16" spans="1:6" x14ac:dyDescent="0.25">
      <c r="A16" t="s">
        <v>6</v>
      </c>
      <c r="B16" s="52" t="s">
        <v>383</v>
      </c>
      <c r="C16" t="s">
        <v>484</v>
      </c>
      <c r="D16" t="s">
        <v>483</v>
      </c>
      <c r="E16" s="52" t="s">
        <v>6</v>
      </c>
      <c r="F16" s="11">
        <v>1</v>
      </c>
    </row>
    <row r="17" spans="1:6" ht="30" x14ac:dyDescent="0.25">
      <c r="A17" t="s">
        <v>6</v>
      </c>
      <c r="B17" s="52" t="s">
        <v>383</v>
      </c>
      <c r="C17" t="s">
        <v>486</v>
      </c>
      <c r="D17" s="8" t="s">
        <v>485</v>
      </c>
      <c r="E17" s="52" t="s">
        <v>6</v>
      </c>
      <c r="F17" s="11">
        <v>1</v>
      </c>
    </row>
    <row r="18" spans="1:6" ht="30" x14ac:dyDescent="0.25">
      <c r="A18" t="s">
        <v>6</v>
      </c>
      <c r="B18" s="52" t="s">
        <v>383</v>
      </c>
      <c r="C18" t="s">
        <v>488</v>
      </c>
      <c r="D18" s="8" t="s">
        <v>557</v>
      </c>
      <c r="E18" s="52" t="s">
        <v>6</v>
      </c>
      <c r="F18" s="11">
        <v>1</v>
      </c>
    </row>
    <row r="19" spans="1:6" ht="34.5" customHeight="1" x14ac:dyDescent="0.25">
      <c r="A19" t="s">
        <v>6</v>
      </c>
      <c r="B19" s="52" t="s">
        <v>383</v>
      </c>
      <c r="C19" t="s">
        <v>412</v>
      </c>
      <c r="D19" s="8" t="s">
        <v>407</v>
      </c>
      <c r="E19" s="52" t="s">
        <v>6</v>
      </c>
      <c r="F19" s="11">
        <v>1</v>
      </c>
    </row>
    <row r="20" spans="1:6" ht="45" x14ac:dyDescent="0.25">
      <c r="A20" t="s">
        <v>6</v>
      </c>
      <c r="B20" s="52" t="s">
        <v>383</v>
      </c>
      <c r="C20" t="s">
        <v>411</v>
      </c>
      <c r="D20" s="8" t="s">
        <v>408</v>
      </c>
      <c r="E20" s="52" t="s">
        <v>6</v>
      </c>
      <c r="F20" s="11">
        <v>1</v>
      </c>
    </row>
    <row r="21" spans="1:6" ht="45" x14ac:dyDescent="0.25">
      <c r="A21" t="s">
        <v>6</v>
      </c>
      <c r="B21" s="52" t="s">
        <v>383</v>
      </c>
      <c r="C21" t="s">
        <v>410</v>
      </c>
      <c r="D21" s="8" t="s">
        <v>409</v>
      </c>
      <c r="E21" s="52" t="s">
        <v>6</v>
      </c>
      <c r="F21" s="11">
        <v>1</v>
      </c>
    </row>
    <row r="22" spans="1:6" x14ac:dyDescent="0.25">
      <c r="A22" t="s">
        <v>6</v>
      </c>
      <c r="B22" s="52" t="s">
        <v>383</v>
      </c>
      <c r="C22" t="s">
        <v>490</v>
      </c>
      <c r="D22" t="s">
        <v>489</v>
      </c>
      <c r="E22" s="52" t="s">
        <v>6</v>
      </c>
      <c r="F22" s="11">
        <v>1</v>
      </c>
    </row>
    <row r="23" spans="1:6" s="18" customFormat="1" ht="18.75" x14ac:dyDescent="0.3">
      <c r="A23" s="16"/>
      <c r="B23" s="16"/>
      <c r="C23" s="17"/>
      <c r="D23" s="16" t="s">
        <v>566</v>
      </c>
      <c r="E23" s="17"/>
      <c r="F23" s="17"/>
    </row>
    <row r="24" spans="1:6" x14ac:dyDescent="0.25">
      <c r="A24" t="s">
        <v>6</v>
      </c>
      <c r="B24" s="52" t="s">
        <v>7</v>
      </c>
      <c r="C24" t="s">
        <v>584</v>
      </c>
      <c r="D24" t="s">
        <v>553</v>
      </c>
      <c r="E24" s="52" t="s">
        <v>6</v>
      </c>
      <c r="F24" t="s">
        <v>588</v>
      </c>
    </row>
    <row r="25" spans="1:6" s="13" customFormat="1" ht="30" x14ac:dyDescent="0.25">
      <c r="A25" s="13" t="s">
        <v>9</v>
      </c>
      <c r="B25" s="13" t="s">
        <v>451</v>
      </c>
      <c r="C25" s="13" t="s">
        <v>558</v>
      </c>
      <c r="D25" s="12" t="s">
        <v>559</v>
      </c>
      <c r="E25" s="13" t="s">
        <v>9</v>
      </c>
      <c r="F25" s="14" t="e">
        <f>F27*F28*F31*F26</f>
        <v>#VALUE!</v>
      </c>
    </row>
    <row r="26" spans="1:6" x14ac:dyDescent="0.25">
      <c r="A26" t="s">
        <v>6</v>
      </c>
      <c r="B26" s="52" t="s">
        <v>383</v>
      </c>
      <c r="C26" t="s">
        <v>414</v>
      </c>
      <c r="D26" s="8" t="s">
        <v>413</v>
      </c>
      <c r="E26" s="52" t="s">
        <v>6</v>
      </c>
      <c r="F26" s="11">
        <v>0.5</v>
      </c>
    </row>
    <row r="27" spans="1:6" ht="30" x14ac:dyDescent="0.25">
      <c r="A27" t="s">
        <v>6</v>
      </c>
      <c r="B27" s="52" t="s">
        <v>383</v>
      </c>
      <c r="C27" t="s">
        <v>416</v>
      </c>
      <c r="D27" s="8" t="s">
        <v>571</v>
      </c>
      <c r="E27" s="52" t="s">
        <v>6</v>
      </c>
      <c r="F27" s="11">
        <v>25</v>
      </c>
    </row>
    <row r="28" spans="1:6" s="13" customFormat="1" ht="30" x14ac:dyDescent="0.25">
      <c r="A28" s="13" t="s">
        <v>9</v>
      </c>
      <c r="B28" s="13" t="s">
        <v>451</v>
      </c>
      <c r="C28" s="13" t="s">
        <v>421</v>
      </c>
      <c r="D28" s="12" t="s">
        <v>556</v>
      </c>
      <c r="E28" s="13" t="s">
        <v>9</v>
      </c>
      <c r="F28" s="14">
        <f>F29*(F30/365)</f>
        <v>27.397260273972602</v>
      </c>
    </row>
    <row r="29" spans="1:6" ht="30" x14ac:dyDescent="0.25">
      <c r="A29" t="s">
        <v>6</v>
      </c>
      <c r="B29" s="52" t="s">
        <v>383</v>
      </c>
      <c r="C29" t="s">
        <v>492</v>
      </c>
      <c r="D29" s="8" t="s">
        <v>491</v>
      </c>
      <c r="E29" s="52" t="s">
        <v>6</v>
      </c>
      <c r="F29" s="11">
        <v>100</v>
      </c>
    </row>
    <row r="30" spans="1:6" ht="34.5" customHeight="1" x14ac:dyDescent="0.25">
      <c r="A30" t="s">
        <v>6</v>
      </c>
      <c r="B30" s="52" t="s">
        <v>383</v>
      </c>
      <c r="C30" t="s">
        <v>494</v>
      </c>
      <c r="D30" s="8" t="s">
        <v>555</v>
      </c>
      <c r="E30" s="52" t="s">
        <v>6</v>
      </c>
      <c r="F30" s="11">
        <v>100</v>
      </c>
    </row>
    <row r="31" spans="1:6" s="54" customFormat="1" ht="75" x14ac:dyDescent="0.25">
      <c r="A31" s="54" t="s">
        <v>6</v>
      </c>
      <c r="B31" s="54" t="s">
        <v>209</v>
      </c>
      <c r="D31" s="55" t="s">
        <v>570</v>
      </c>
      <c r="E31" s="54" t="s">
        <v>9</v>
      </c>
      <c r="F31" s="55" t="s">
        <v>592</v>
      </c>
    </row>
    <row r="32" spans="1:6" s="13" customFormat="1" ht="45" x14ac:dyDescent="0.25">
      <c r="A32" s="13" t="s">
        <v>9</v>
      </c>
      <c r="B32" s="13" t="s">
        <v>451</v>
      </c>
      <c r="C32" s="13" t="s">
        <v>475</v>
      </c>
      <c r="D32" s="12" t="s">
        <v>561</v>
      </c>
      <c r="E32" s="13" t="s">
        <v>9</v>
      </c>
      <c r="F32" s="14">
        <f>ABS(F34*(1-(F35/100))+(F36*F34))*ABS(((1-F37)/F38))*F42</f>
        <v>0</v>
      </c>
    </row>
    <row r="33" spans="1:6" s="13" customFormat="1" ht="45" x14ac:dyDescent="0.25">
      <c r="A33" s="13" t="s">
        <v>9</v>
      </c>
      <c r="B33" s="13" t="s">
        <v>451</v>
      </c>
      <c r="C33" s="13" t="s">
        <v>478</v>
      </c>
      <c r="D33" s="12" t="s">
        <v>562</v>
      </c>
      <c r="E33" s="13" t="s">
        <v>9</v>
      </c>
      <c r="F33" s="14">
        <f>(F39/F40)*F41*F42</f>
        <v>1</v>
      </c>
    </row>
    <row r="34" spans="1:6" x14ac:dyDescent="0.25">
      <c r="A34" t="s">
        <v>6</v>
      </c>
      <c r="B34" s="52" t="s">
        <v>383</v>
      </c>
      <c r="C34" t="s">
        <v>480</v>
      </c>
      <c r="D34" s="8" t="s">
        <v>479</v>
      </c>
      <c r="E34" s="52" t="s">
        <v>6</v>
      </c>
      <c r="F34" s="11">
        <v>1</v>
      </c>
    </row>
    <row r="35" spans="1:6" ht="18" customHeight="1" x14ac:dyDescent="0.25">
      <c r="A35" t="s">
        <v>6</v>
      </c>
      <c r="B35" s="52" t="s">
        <v>383</v>
      </c>
      <c r="C35" t="s">
        <v>482</v>
      </c>
      <c r="D35" t="s">
        <v>481</v>
      </c>
      <c r="E35" s="52" t="s">
        <v>6</v>
      </c>
      <c r="F35" s="11">
        <v>1</v>
      </c>
    </row>
    <row r="36" spans="1:6" x14ac:dyDescent="0.25">
      <c r="A36" t="s">
        <v>6</v>
      </c>
      <c r="B36" s="52" t="s">
        <v>383</v>
      </c>
      <c r="C36" t="s">
        <v>484</v>
      </c>
      <c r="D36" t="s">
        <v>483</v>
      </c>
      <c r="E36" s="52" t="s">
        <v>6</v>
      </c>
      <c r="F36" s="11">
        <v>1</v>
      </c>
    </row>
    <row r="37" spans="1:6" ht="30" x14ac:dyDescent="0.25">
      <c r="A37" t="s">
        <v>6</v>
      </c>
      <c r="B37" s="52" t="s">
        <v>383</v>
      </c>
      <c r="C37" t="s">
        <v>486</v>
      </c>
      <c r="D37" s="8" t="s">
        <v>485</v>
      </c>
      <c r="E37" s="52" t="s">
        <v>6</v>
      </c>
      <c r="F37" s="11">
        <v>1</v>
      </c>
    </row>
    <row r="38" spans="1:6" ht="30" x14ac:dyDescent="0.25">
      <c r="A38" t="s">
        <v>6</v>
      </c>
      <c r="B38" s="52" t="s">
        <v>383</v>
      </c>
      <c r="C38" t="s">
        <v>488</v>
      </c>
      <c r="D38" s="8" t="s">
        <v>557</v>
      </c>
      <c r="E38" s="52" t="s">
        <v>6</v>
      </c>
      <c r="F38" s="11">
        <v>1</v>
      </c>
    </row>
    <row r="39" spans="1:6" ht="34.5" customHeight="1" x14ac:dyDescent="0.25">
      <c r="A39" t="s">
        <v>6</v>
      </c>
      <c r="B39" s="52" t="s">
        <v>383</v>
      </c>
      <c r="C39" t="s">
        <v>412</v>
      </c>
      <c r="D39" s="8" t="s">
        <v>407</v>
      </c>
      <c r="E39" s="52" t="s">
        <v>6</v>
      </c>
      <c r="F39" s="11">
        <v>1</v>
      </c>
    </row>
    <row r="40" spans="1:6" ht="30" x14ac:dyDescent="0.25">
      <c r="A40" t="s">
        <v>6</v>
      </c>
      <c r="B40" s="52" t="s">
        <v>383</v>
      </c>
      <c r="C40" t="s">
        <v>411</v>
      </c>
      <c r="D40" s="8" t="s">
        <v>408</v>
      </c>
      <c r="E40" s="52" t="s">
        <v>6</v>
      </c>
      <c r="F40" s="11">
        <v>1</v>
      </c>
    </row>
    <row r="41" spans="1:6" ht="45" x14ac:dyDescent="0.25">
      <c r="A41" t="s">
        <v>6</v>
      </c>
      <c r="B41" s="52" t="s">
        <v>383</v>
      </c>
      <c r="C41" t="s">
        <v>410</v>
      </c>
      <c r="D41" s="8" t="s">
        <v>409</v>
      </c>
      <c r="E41" s="52" t="s">
        <v>6</v>
      </c>
      <c r="F41" s="11">
        <v>1</v>
      </c>
    </row>
    <row r="42" spans="1:6" x14ac:dyDescent="0.25">
      <c r="A42" t="s">
        <v>6</v>
      </c>
      <c r="B42" s="52" t="s">
        <v>383</v>
      </c>
      <c r="C42" t="s">
        <v>490</v>
      </c>
      <c r="D42" t="s">
        <v>489</v>
      </c>
      <c r="E42" s="52" t="s">
        <v>6</v>
      </c>
      <c r="F4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DA3C8-9C38-4213-920F-91F933248EB7}">
  <dimension ref="A1:F16"/>
  <sheetViews>
    <sheetView workbookViewId="0">
      <selection activeCell="F19" sqref="F19"/>
    </sheetView>
  </sheetViews>
  <sheetFormatPr defaultRowHeight="15" x14ac:dyDescent="0.25"/>
  <cols>
    <col min="1" max="1" width="18.140625" bestFit="1" customWidth="1"/>
    <col min="2" max="2" width="16.140625" bestFit="1" customWidth="1"/>
    <col min="3" max="3" width="13.42578125" bestFit="1" customWidth="1"/>
    <col min="4" max="4" width="61.28515625" customWidth="1"/>
    <col min="5" max="5" width="29.28515625" bestFit="1" customWidth="1"/>
    <col min="6" max="6" width="77.1406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566</v>
      </c>
      <c r="E2" s="17"/>
      <c r="F2" s="17"/>
    </row>
    <row r="3" spans="1:6" s="18" customFormat="1" ht="18.75" x14ac:dyDescent="0.3">
      <c r="A3" s="16"/>
      <c r="B3" s="16"/>
      <c r="C3" s="17"/>
      <c r="D3" s="16" t="s">
        <v>563</v>
      </c>
      <c r="E3" s="17"/>
      <c r="F3" s="17"/>
    </row>
    <row r="4" spans="1:6" x14ac:dyDescent="0.25">
      <c r="A4" t="s">
        <v>6</v>
      </c>
      <c r="B4" t="s">
        <v>7</v>
      </c>
      <c r="C4" t="s">
        <v>584</v>
      </c>
      <c r="D4" t="s">
        <v>553</v>
      </c>
      <c r="E4" t="s">
        <v>6</v>
      </c>
      <c r="F4" t="s">
        <v>554</v>
      </c>
    </row>
    <row r="5" spans="1:6" s="13" customFormat="1" ht="30" x14ac:dyDescent="0.25">
      <c r="A5" s="13" t="s">
        <v>9</v>
      </c>
      <c r="B5" s="13" t="s">
        <v>451</v>
      </c>
      <c r="C5" s="13" t="s">
        <v>558</v>
      </c>
      <c r="D5" s="12" t="s">
        <v>564</v>
      </c>
      <c r="E5" s="13" t="s">
        <v>9</v>
      </c>
      <c r="F5" s="14">
        <f>F6*F8*F9*F7</f>
        <v>2500</v>
      </c>
    </row>
    <row r="6" spans="1:6" ht="30" x14ac:dyDescent="0.25">
      <c r="A6" t="s">
        <v>6</v>
      </c>
      <c r="B6" t="s">
        <v>383</v>
      </c>
      <c r="C6" t="s">
        <v>416</v>
      </c>
      <c r="D6" s="8" t="s">
        <v>571</v>
      </c>
      <c r="E6" t="s">
        <v>6</v>
      </c>
      <c r="F6" s="11">
        <v>25</v>
      </c>
    </row>
    <row r="7" spans="1:6" x14ac:dyDescent="0.25">
      <c r="A7" t="s">
        <v>6</v>
      </c>
      <c r="B7" t="s">
        <v>383</v>
      </c>
      <c r="C7" t="s">
        <v>414</v>
      </c>
      <c r="D7" s="8" t="s">
        <v>413</v>
      </c>
      <c r="E7" t="s">
        <v>6</v>
      </c>
      <c r="F7" s="11">
        <v>1</v>
      </c>
    </row>
    <row r="8" spans="1:6" ht="30" x14ac:dyDescent="0.25">
      <c r="A8" t="s">
        <v>6</v>
      </c>
      <c r="B8" t="s">
        <v>383</v>
      </c>
      <c r="C8" t="s">
        <v>415</v>
      </c>
      <c r="D8" s="8" t="s">
        <v>419</v>
      </c>
      <c r="E8" t="s">
        <v>6</v>
      </c>
      <c r="F8" s="11">
        <v>10</v>
      </c>
    </row>
    <row r="9" spans="1:6" ht="45" x14ac:dyDescent="0.25">
      <c r="A9" t="s">
        <v>6</v>
      </c>
      <c r="B9" t="s">
        <v>383</v>
      </c>
      <c r="C9" t="s">
        <v>417</v>
      </c>
      <c r="D9" s="8" t="s">
        <v>420</v>
      </c>
      <c r="E9" t="s">
        <v>6</v>
      </c>
      <c r="F9" s="11">
        <v>10</v>
      </c>
    </row>
    <row r="10" spans="1:6" s="18" customFormat="1" ht="18.75" x14ac:dyDescent="0.3">
      <c r="A10" s="16"/>
      <c r="B10" s="16"/>
      <c r="C10" s="17"/>
      <c r="D10" s="16" t="s">
        <v>566</v>
      </c>
      <c r="E10" s="17"/>
      <c r="F10" s="17"/>
    </row>
    <row r="11" spans="1:6" x14ac:dyDescent="0.25">
      <c r="A11" t="s">
        <v>6</v>
      </c>
      <c r="B11" t="s">
        <v>7</v>
      </c>
      <c r="C11" t="s">
        <v>584</v>
      </c>
      <c r="D11" t="s">
        <v>553</v>
      </c>
      <c r="E11" t="s">
        <v>6</v>
      </c>
      <c r="F11" t="s">
        <v>588</v>
      </c>
    </row>
    <row r="12" spans="1:6" s="13" customFormat="1" ht="30" x14ac:dyDescent="0.25">
      <c r="A12" s="13" t="s">
        <v>9</v>
      </c>
      <c r="B12" s="13" t="s">
        <v>451</v>
      </c>
      <c r="C12" s="13" t="s">
        <v>558</v>
      </c>
      <c r="D12" s="12" t="s">
        <v>564</v>
      </c>
      <c r="E12" s="13" t="s">
        <v>9</v>
      </c>
      <c r="F12" s="14">
        <f>F13*F15*F16*F14</f>
        <v>2500</v>
      </c>
    </row>
    <row r="13" spans="1:6" ht="30" x14ac:dyDescent="0.25">
      <c r="A13" t="s">
        <v>6</v>
      </c>
      <c r="B13" t="s">
        <v>383</v>
      </c>
      <c r="C13" t="s">
        <v>416</v>
      </c>
      <c r="D13" s="8" t="s">
        <v>571</v>
      </c>
      <c r="E13" t="s">
        <v>6</v>
      </c>
      <c r="F13" s="11">
        <v>25</v>
      </c>
    </row>
    <row r="14" spans="1:6" x14ac:dyDescent="0.25">
      <c r="A14" t="s">
        <v>6</v>
      </c>
      <c r="B14" t="s">
        <v>383</v>
      </c>
      <c r="C14" t="s">
        <v>414</v>
      </c>
      <c r="D14" s="8" t="s">
        <v>413</v>
      </c>
      <c r="E14" t="s">
        <v>6</v>
      </c>
      <c r="F14" s="11">
        <v>1</v>
      </c>
    </row>
    <row r="15" spans="1:6" ht="30" x14ac:dyDescent="0.25">
      <c r="A15" t="s">
        <v>6</v>
      </c>
      <c r="B15" t="s">
        <v>383</v>
      </c>
      <c r="C15" t="s">
        <v>415</v>
      </c>
      <c r="D15" s="8" t="s">
        <v>419</v>
      </c>
      <c r="E15" t="s">
        <v>6</v>
      </c>
      <c r="F15" s="11">
        <v>10</v>
      </c>
    </row>
    <row r="16" spans="1:6" ht="45" x14ac:dyDescent="0.25">
      <c r="A16" t="s">
        <v>6</v>
      </c>
      <c r="B16" t="s">
        <v>383</v>
      </c>
      <c r="C16" t="s">
        <v>417</v>
      </c>
      <c r="D16" s="8" t="s">
        <v>420</v>
      </c>
      <c r="E16" t="s">
        <v>6</v>
      </c>
      <c r="F16" s="11">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6C647-095C-4D31-9A78-FB5E2CDC6ACC}">
  <dimension ref="A1:F3"/>
  <sheetViews>
    <sheetView workbookViewId="0">
      <selection activeCell="F3" sqref="F3"/>
    </sheetView>
  </sheetViews>
  <sheetFormatPr defaultRowHeight="15" x14ac:dyDescent="0.25"/>
  <cols>
    <col min="1" max="1" width="18.140625" bestFit="1" customWidth="1"/>
    <col min="2" max="2" width="18.140625" customWidth="1"/>
    <col min="3" max="3" width="16.140625" bestFit="1" customWidth="1"/>
    <col min="4" max="4" width="48" customWidth="1"/>
    <col min="5" max="5" width="29.28515625" bestFit="1" customWidth="1"/>
    <col min="6" max="6" width="98.1406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461</v>
      </c>
      <c r="E2" s="17"/>
      <c r="F2" s="17"/>
    </row>
    <row r="3" spans="1:6" s="13" customFormat="1" ht="30" x14ac:dyDescent="0.25">
      <c r="A3" s="13" t="s">
        <v>9</v>
      </c>
      <c r="B3" s="13" t="s">
        <v>451</v>
      </c>
      <c r="C3" s="13" t="s">
        <v>430</v>
      </c>
      <c r="D3" s="12" t="s">
        <v>427</v>
      </c>
      <c r="E3" s="13" t="s">
        <v>9</v>
      </c>
      <c r="F3" s="14" t="e" cm="1">
        <f t="array" ref="F3">SUM(('Tool 3 Add Fuel Type'!F10,'Tool 3 Add Fuel Type'!F29)*('Tool 3 Add Fuel Type'!F11,'Tool 3 Add Fuel Type'!F30))</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D69F-1501-49E7-9E2A-53A4F2B16CBC}">
  <dimension ref="A1:F39"/>
  <sheetViews>
    <sheetView workbookViewId="0">
      <selection activeCell="E25" sqref="E25"/>
    </sheetView>
  </sheetViews>
  <sheetFormatPr defaultRowHeight="15" x14ac:dyDescent="0.25"/>
  <cols>
    <col min="1" max="1" width="18.140625" bestFit="1" customWidth="1"/>
    <col min="2" max="2" width="16.140625" bestFit="1" customWidth="1"/>
    <col min="3" max="3" width="13.42578125" bestFit="1" customWidth="1"/>
    <col min="4" max="4" width="34" customWidth="1"/>
    <col min="5" max="5" width="29.28515625" bestFit="1" customWidth="1"/>
    <col min="6" max="6" width="47.57031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446</v>
      </c>
      <c r="E2" s="17"/>
      <c r="F2" s="17"/>
    </row>
    <row r="3" spans="1:6" s="18" customFormat="1" ht="18.75" x14ac:dyDescent="0.3">
      <c r="A3" s="16"/>
      <c r="B3" s="16"/>
      <c r="C3" s="17"/>
      <c r="D3" s="16" t="s">
        <v>454</v>
      </c>
      <c r="E3" s="17"/>
      <c r="F3" s="17"/>
    </row>
    <row r="4" spans="1:6" ht="30" x14ac:dyDescent="0.25">
      <c r="A4" t="s">
        <v>6</v>
      </c>
      <c r="B4" t="s">
        <v>7</v>
      </c>
      <c r="C4" t="s">
        <v>439</v>
      </c>
      <c r="D4" s="8" t="s">
        <v>447</v>
      </c>
      <c r="E4" t="s">
        <v>6</v>
      </c>
      <c r="F4" t="s">
        <v>455</v>
      </c>
    </row>
    <row r="5" spans="1:6" ht="30" x14ac:dyDescent="0.25">
      <c r="A5" t="s">
        <v>6</v>
      </c>
      <c r="B5" t="s">
        <v>7</v>
      </c>
      <c r="D5" s="8" t="s">
        <v>458</v>
      </c>
      <c r="E5" t="s">
        <v>6</v>
      </c>
      <c r="F5" t="s">
        <v>462</v>
      </c>
    </row>
    <row r="6" spans="1:6" s="41" customFormat="1" ht="135" x14ac:dyDescent="0.25">
      <c r="A6" s="41" t="s">
        <v>6</v>
      </c>
      <c r="B6" s="41" t="s">
        <v>209</v>
      </c>
      <c r="D6" s="42" t="s">
        <v>449</v>
      </c>
      <c r="E6" s="41" t="s">
        <v>6</v>
      </c>
      <c r="F6" s="42" t="s">
        <v>450</v>
      </c>
    </row>
    <row r="7" spans="1:6" s="41" customFormat="1" ht="60" x14ac:dyDescent="0.25">
      <c r="A7" s="41" t="s">
        <v>6</v>
      </c>
      <c r="B7" s="41" t="s">
        <v>209</v>
      </c>
      <c r="D7" s="42" t="s">
        <v>448</v>
      </c>
      <c r="E7" s="41" t="s">
        <v>6</v>
      </c>
      <c r="F7" s="42" t="s">
        <v>456</v>
      </c>
    </row>
    <row r="8" spans="1:6" s="18" customFormat="1" ht="18.75" x14ac:dyDescent="0.3">
      <c r="A8" s="16"/>
      <c r="B8" s="16"/>
      <c r="C8" s="17"/>
      <c r="D8" s="16" t="s">
        <v>452</v>
      </c>
      <c r="E8" s="17"/>
      <c r="F8" s="17"/>
    </row>
    <row r="9" spans="1:6" s="13" customFormat="1" ht="45" x14ac:dyDescent="0.25">
      <c r="A9" s="13" t="s">
        <v>9</v>
      </c>
      <c r="B9" s="13" t="s">
        <v>451</v>
      </c>
      <c r="C9" s="13" t="s">
        <v>430</v>
      </c>
      <c r="D9" s="12" t="s">
        <v>427</v>
      </c>
      <c r="E9" s="13" t="s">
        <v>9</v>
      </c>
      <c r="F9" s="14" t="e">
        <f>F10*F11</f>
        <v>#VALUE!</v>
      </c>
    </row>
    <row r="10" spans="1:6" ht="45" x14ac:dyDescent="0.25">
      <c r="A10" t="s">
        <v>6</v>
      </c>
      <c r="B10" t="s">
        <v>383</v>
      </c>
      <c r="C10" t="s">
        <v>431</v>
      </c>
      <c r="D10" s="8" t="s">
        <v>428</v>
      </c>
      <c r="E10" t="s">
        <v>6</v>
      </c>
      <c r="F10" s="11">
        <v>20</v>
      </c>
    </row>
    <row r="11" spans="1:6" s="13" customFormat="1" ht="45" x14ac:dyDescent="0.25">
      <c r="A11" s="13" t="s">
        <v>6</v>
      </c>
      <c r="B11" s="13" t="s">
        <v>451</v>
      </c>
      <c r="C11" s="13" t="s">
        <v>432</v>
      </c>
      <c r="D11" s="12" t="s">
        <v>429</v>
      </c>
      <c r="E11" s="13" t="s">
        <v>9</v>
      </c>
      <c r="F11" s="12" t="s">
        <v>457</v>
      </c>
    </row>
    <row r="12" spans="1:6" s="18" customFormat="1" ht="18.75" x14ac:dyDescent="0.3">
      <c r="A12" s="16"/>
      <c r="B12" s="16"/>
      <c r="C12" s="17"/>
      <c r="D12" s="16" t="s">
        <v>444</v>
      </c>
      <c r="E12" s="17"/>
      <c r="F12" s="17"/>
    </row>
    <row r="13" spans="1:6" s="13" customFormat="1" ht="45" x14ac:dyDescent="0.25">
      <c r="A13" s="13" t="s">
        <v>9</v>
      </c>
      <c r="B13" s="13" t="s">
        <v>451</v>
      </c>
      <c r="C13" s="13" t="s">
        <v>432</v>
      </c>
      <c r="D13" s="12" t="s">
        <v>433</v>
      </c>
      <c r="E13" s="13" t="s">
        <v>9</v>
      </c>
      <c r="F13" s="14">
        <f>F15*(44/12)</f>
        <v>1.8333333333333333</v>
      </c>
    </row>
    <row r="14" spans="1:6" s="13" customFormat="1" ht="45" x14ac:dyDescent="0.25">
      <c r="A14" s="13" t="s">
        <v>9</v>
      </c>
      <c r="B14" s="13" t="s">
        <v>451</v>
      </c>
      <c r="C14" s="13" t="s">
        <v>432</v>
      </c>
      <c r="D14" s="12" t="s">
        <v>434</v>
      </c>
      <c r="E14" s="13" t="s">
        <v>9</v>
      </c>
      <c r="F14" s="14">
        <f>F15*F16*(44/12)</f>
        <v>3.6666666666666665</v>
      </c>
    </row>
    <row r="15" spans="1:6" ht="45" x14ac:dyDescent="0.25">
      <c r="A15" t="s">
        <v>6</v>
      </c>
      <c r="B15" t="s">
        <v>383</v>
      </c>
      <c r="C15" t="s">
        <v>437</v>
      </c>
      <c r="D15" s="8" t="s">
        <v>435</v>
      </c>
      <c r="E15" s="52" t="s">
        <v>6</v>
      </c>
      <c r="F15" s="11">
        <v>0.5</v>
      </c>
    </row>
    <row r="16" spans="1:6" ht="45" x14ac:dyDescent="0.25">
      <c r="A16" t="s">
        <v>6</v>
      </c>
      <c r="B16" t="s">
        <v>383</v>
      </c>
      <c r="C16" t="s">
        <v>438</v>
      </c>
      <c r="D16" s="8" t="s">
        <v>436</v>
      </c>
      <c r="E16" s="52" t="s">
        <v>6</v>
      </c>
      <c r="F16" s="11">
        <v>2</v>
      </c>
    </row>
    <row r="17" spans="1:6" s="18" customFormat="1" ht="18.75" x14ac:dyDescent="0.3">
      <c r="A17" s="16"/>
      <c r="B17" s="16"/>
      <c r="C17" s="17"/>
      <c r="D17" s="16" t="s">
        <v>445</v>
      </c>
      <c r="E17" s="17"/>
      <c r="F17" s="17"/>
    </row>
    <row r="18" spans="1:6" s="13" customFormat="1" ht="45" x14ac:dyDescent="0.25">
      <c r="A18" s="13" t="s">
        <v>9</v>
      </c>
      <c r="B18" s="13" t="s">
        <v>451</v>
      </c>
      <c r="C18" s="13" t="s">
        <v>432</v>
      </c>
      <c r="D18" s="12" t="s">
        <v>433</v>
      </c>
      <c r="E18" s="13" t="s">
        <v>9</v>
      </c>
      <c r="F18" s="14">
        <f>F19*F20</f>
        <v>11.15</v>
      </c>
    </row>
    <row r="19" spans="1:6" ht="45" x14ac:dyDescent="0.25">
      <c r="A19" t="s">
        <v>6</v>
      </c>
      <c r="B19" t="s">
        <v>383</v>
      </c>
      <c r="C19" t="s">
        <v>442</v>
      </c>
      <c r="D19" s="8" t="s">
        <v>440</v>
      </c>
      <c r="E19" t="s">
        <v>6</v>
      </c>
      <c r="F19" s="11">
        <v>0.5</v>
      </c>
    </row>
    <row r="20" spans="1:6" ht="45" x14ac:dyDescent="0.25">
      <c r="A20" t="s">
        <v>6</v>
      </c>
      <c r="B20" t="s">
        <v>383</v>
      </c>
      <c r="C20" t="s">
        <v>443</v>
      </c>
      <c r="D20" s="8" t="s">
        <v>441</v>
      </c>
      <c r="E20" t="s">
        <v>6</v>
      </c>
      <c r="F20" s="11">
        <v>22.3</v>
      </c>
    </row>
    <row r="21" spans="1:6" s="18" customFormat="1" ht="18.75" x14ac:dyDescent="0.3">
      <c r="A21" s="16"/>
      <c r="B21" s="16"/>
      <c r="C21" s="17"/>
      <c r="D21" s="16" t="s">
        <v>446</v>
      </c>
      <c r="E21" s="17"/>
      <c r="F21" s="17"/>
    </row>
    <row r="22" spans="1:6" s="18" customFormat="1" ht="18.75" x14ac:dyDescent="0.3">
      <c r="A22" s="16"/>
      <c r="B22" s="16"/>
      <c r="C22" s="17"/>
      <c r="D22" s="16" t="s">
        <v>454</v>
      </c>
      <c r="E22" s="17"/>
      <c r="F22" s="17"/>
    </row>
    <row r="23" spans="1:6" ht="30" x14ac:dyDescent="0.25">
      <c r="A23" t="s">
        <v>6</v>
      </c>
      <c r="B23" t="s">
        <v>7</v>
      </c>
      <c r="C23" t="s">
        <v>439</v>
      </c>
      <c r="D23" s="8" t="s">
        <v>447</v>
      </c>
      <c r="E23" t="s">
        <v>6</v>
      </c>
    </row>
    <row r="24" spans="1:6" ht="30" x14ac:dyDescent="0.25">
      <c r="A24" t="s">
        <v>6</v>
      </c>
      <c r="B24" t="s">
        <v>7</v>
      </c>
      <c r="D24" s="8" t="s">
        <v>458</v>
      </c>
      <c r="E24" t="s">
        <v>6</v>
      </c>
      <c r="F24" t="s">
        <v>462</v>
      </c>
    </row>
    <row r="25" spans="1:6" s="41" customFormat="1" ht="135" x14ac:dyDescent="0.25">
      <c r="A25" s="41" t="s">
        <v>6</v>
      </c>
      <c r="B25" s="41" t="s">
        <v>209</v>
      </c>
      <c r="D25" s="42" t="s">
        <v>449</v>
      </c>
      <c r="E25" s="41" t="s">
        <v>6</v>
      </c>
      <c r="F25" s="42" t="s">
        <v>450</v>
      </c>
    </row>
    <row r="26" spans="1:6" s="41" customFormat="1" ht="45" x14ac:dyDescent="0.25">
      <c r="A26" s="41" t="s">
        <v>6</v>
      </c>
      <c r="B26" s="41" t="s">
        <v>209</v>
      </c>
      <c r="D26" s="42" t="s">
        <v>448</v>
      </c>
      <c r="E26" s="41" t="s">
        <v>6</v>
      </c>
      <c r="F26" s="42" t="s">
        <v>459</v>
      </c>
    </row>
    <row r="27" spans="1:6" s="18" customFormat="1" ht="18.75" x14ac:dyDescent="0.3">
      <c r="A27" s="16"/>
      <c r="B27" s="16"/>
      <c r="C27" s="17"/>
      <c r="D27" s="16" t="s">
        <v>453</v>
      </c>
      <c r="E27" s="17"/>
      <c r="F27" s="17"/>
    </row>
    <row r="28" spans="1:6" s="13" customFormat="1" ht="45" x14ac:dyDescent="0.25">
      <c r="A28" s="13" t="s">
        <v>9</v>
      </c>
      <c r="B28" s="13" t="s">
        <v>451</v>
      </c>
      <c r="C28" s="13" t="s">
        <v>430</v>
      </c>
      <c r="D28" s="12" t="s">
        <v>427</v>
      </c>
      <c r="E28" s="13" t="s">
        <v>9</v>
      </c>
      <c r="F28" s="14" t="e">
        <f>F29*F30</f>
        <v>#VALUE!</v>
      </c>
    </row>
    <row r="29" spans="1:6" ht="45" x14ac:dyDescent="0.25">
      <c r="A29" t="s">
        <v>6</v>
      </c>
      <c r="B29" t="s">
        <v>383</v>
      </c>
      <c r="C29" t="s">
        <v>431</v>
      </c>
      <c r="D29" s="8" t="s">
        <v>428</v>
      </c>
      <c r="E29" t="s">
        <v>6</v>
      </c>
      <c r="F29" s="11">
        <v>10</v>
      </c>
    </row>
    <row r="30" spans="1:6" ht="45" x14ac:dyDescent="0.25">
      <c r="A30" t="s">
        <v>6</v>
      </c>
      <c r="B30" t="s">
        <v>383</v>
      </c>
      <c r="C30" t="s">
        <v>432</v>
      </c>
      <c r="D30" s="8" t="s">
        <v>429</v>
      </c>
      <c r="E30" t="s">
        <v>6</v>
      </c>
      <c r="F30" s="8" t="s">
        <v>460</v>
      </c>
    </row>
    <row r="31" spans="1:6" s="18" customFormat="1" ht="18.75" x14ac:dyDescent="0.3">
      <c r="A31" s="16"/>
      <c r="B31" s="16"/>
      <c r="C31" s="17"/>
      <c r="D31" s="16" t="s">
        <v>444</v>
      </c>
      <c r="E31" s="17"/>
      <c r="F31" s="17"/>
    </row>
    <row r="32" spans="1:6" s="13" customFormat="1" ht="45" x14ac:dyDescent="0.25">
      <c r="A32" s="13" t="s">
        <v>9</v>
      </c>
      <c r="B32" s="13" t="s">
        <v>451</v>
      </c>
      <c r="C32" s="13" t="s">
        <v>432</v>
      </c>
      <c r="D32" s="12" t="s">
        <v>433</v>
      </c>
      <c r="E32" s="13" t="s">
        <v>9</v>
      </c>
      <c r="F32" s="14">
        <f>F34*(44/12)</f>
        <v>1.8333333333333333</v>
      </c>
    </row>
    <row r="33" spans="1:6" s="13" customFormat="1" ht="45" x14ac:dyDescent="0.25">
      <c r="A33" s="13" t="s">
        <v>9</v>
      </c>
      <c r="B33" s="13" t="s">
        <v>451</v>
      </c>
      <c r="C33" s="13" t="s">
        <v>432</v>
      </c>
      <c r="D33" s="12" t="s">
        <v>434</v>
      </c>
      <c r="E33" s="13" t="s">
        <v>9</v>
      </c>
      <c r="F33" s="14">
        <f>F34*F35*(44/12)</f>
        <v>3.6666666666666665</v>
      </c>
    </row>
    <row r="34" spans="1:6" ht="45" x14ac:dyDescent="0.25">
      <c r="A34" t="s">
        <v>6</v>
      </c>
      <c r="B34" t="s">
        <v>383</v>
      </c>
      <c r="C34" t="s">
        <v>437</v>
      </c>
      <c r="D34" s="8" t="s">
        <v>435</v>
      </c>
      <c r="E34" t="s">
        <v>6</v>
      </c>
      <c r="F34" s="11">
        <v>0.5</v>
      </c>
    </row>
    <row r="35" spans="1:6" ht="45" x14ac:dyDescent="0.25">
      <c r="A35" t="s">
        <v>6</v>
      </c>
      <c r="B35" t="s">
        <v>383</v>
      </c>
      <c r="C35" t="s">
        <v>438</v>
      </c>
      <c r="D35" s="8" t="s">
        <v>436</v>
      </c>
      <c r="E35" t="s">
        <v>6</v>
      </c>
      <c r="F35" s="11">
        <v>2</v>
      </c>
    </row>
    <row r="36" spans="1:6" s="18" customFormat="1" ht="18.75" x14ac:dyDescent="0.3">
      <c r="A36" s="16"/>
      <c r="B36" s="16"/>
      <c r="C36" s="17"/>
      <c r="D36" s="16" t="s">
        <v>445</v>
      </c>
      <c r="E36" s="17"/>
      <c r="F36" s="17"/>
    </row>
    <row r="37" spans="1:6" s="13" customFormat="1" ht="45" x14ac:dyDescent="0.25">
      <c r="A37" s="13" t="s">
        <v>9</v>
      </c>
      <c r="B37" s="13" t="s">
        <v>451</v>
      </c>
      <c r="C37" s="13" t="s">
        <v>432</v>
      </c>
      <c r="D37" s="12" t="s">
        <v>433</v>
      </c>
      <c r="E37" s="13" t="s">
        <v>9</v>
      </c>
      <c r="F37" s="14">
        <f>F38*F39</f>
        <v>11.15</v>
      </c>
    </row>
    <row r="38" spans="1:6" ht="45" x14ac:dyDescent="0.25">
      <c r="A38" t="s">
        <v>6</v>
      </c>
      <c r="B38" t="s">
        <v>383</v>
      </c>
      <c r="C38" t="s">
        <v>442</v>
      </c>
      <c r="D38" s="8" t="s">
        <v>440</v>
      </c>
      <c r="E38" t="s">
        <v>6</v>
      </c>
      <c r="F38" s="11">
        <v>0.5</v>
      </c>
    </row>
    <row r="39" spans="1:6" ht="45" x14ac:dyDescent="0.25">
      <c r="A39" t="s">
        <v>6</v>
      </c>
      <c r="B39" t="s">
        <v>383</v>
      </c>
      <c r="C39" t="s">
        <v>443</v>
      </c>
      <c r="D39" s="8" t="s">
        <v>441</v>
      </c>
      <c r="E39" t="s">
        <v>6</v>
      </c>
      <c r="F39" s="11">
        <v>22.3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DD6F-7F9F-4126-B9EC-CDE1AA2D1AF5}">
  <dimension ref="A1:F43"/>
  <sheetViews>
    <sheetView workbookViewId="0">
      <selection activeCell="E41" sqref="E41"/>
    </sheetView>
  </sheetViews>
  <sheetFormatPr defaultRowHeight="15" x14ac:dyDescent="0.25"/>
  <cols>
    <col min="1" max="1" width="18.140625" bestFit="1" customWidth="1"/>
    <col min="2" max="2" width="18.140625" customWidth="1"/>
    <col min="3" max="3" width="16.140625" bestFit="1" customWidth="1"/>
    <col min="4" max="4" width="48" customWidth="1"/>
    <col min="5" max="5" width="29.28515625" bestFit="1" customWidth="1"/>
    <col min="6" max="6" width="78.8554687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c r="E2" s="17"/>
      <c r="F2" s="17"/>
    </row>
    <row r="3" spans="1:6" s="41" customFormat="1" ht="201" customHeight="1" x14ac:dyDescent="0.25">
      <c r="A3" s="41" t="s">
        <v>6</v>
      </c>
      <c r="B3" s="41" t="s">
        <v>209</v>
      </c>
      <c r="D3" s="42" t="s">
        <v>311</v>
      </c>
      <c r="E3" s="41" t="s">
        <v>9</v>
      </c>
      <c r="F3" s="42" t="s">
        <v>312</v>
      </c>
    </row>
    <row r="4" spans="1:6" s="41" customFormat="1" ht="30" x14ac:dyDescent="0.25">
      <c r="A4" s="41" t="s">
        <v>6</v>
      </c>
      <c r="B4" s="41" t="s">
        <v>209</v>
      </c>
      <c r="D4" s="41" t="s">
        <v>596</v>
      </c>
      <c r="E4" s="41" t="s">
        <v>9</v>
      </c>
      <c r="F4" s="42" t="s">
        <v>604</v>
      </c>
    </row>
    <row r="5" spans="1:6" s="41" customFormat="1" ht="30" x14ac:dyDescent="0.25">
      <c r="A5" s="41" t="s">
        <v>6</v>
      </c>
      <c r="B5" s="41" t="s">
        <v>209</v>
      </c>
      <c r="D5" s="41" t="s">
        <v>597</v>
      </c>
      <c r="E5" s="41" t="s">
        <v>9</v>
      </c>
      <c r="F5" s="42" t="s">
        <v>605</v>
      </c>
    </row>
    <row r="6" spans="1:6" s="41" customFormat="1" ht="45" x14ac:dyDescent="0.25">
      <c r="A6" s="41" t="s">
        <v>6</v>
      </c>
      <c r="B6" s="41" t="s">
        <v>209</v>
      </c>
      <c r="D6" s="42" t="s">
        <v>598</v>
      </c>
      <c r="E6" s="41" t="s">
        <v>9</v>
      </c>
      <c r="F6" s="42" t="s">
        <v>606</v>
      </c>
    </row>
    <row r="7" spans="1:6" s="41" customFormat="1" ht="135" x14ac:dyDescent="0.25">
      <c r="A7" s="41" t="s">
        <v>6</v>
      </c>
      <c r="B7" s="41" t="s">
        <v>209</v>
      </c>
      <c r="D7" s="42" t="s">
        <v>402</v>
      </c>
      <c r="E7" s="41" t="s">
        <v>9</v>
      </c>
      <c r="F7" s="42" t="s">
        <v>401</v>
      </c>
    </row>
    <row r="8" spans="1:6" s="41" customFormat="1" ht="30" x14ac:dyDescent="0.25">
      <c r="A8" s="41" t="s">
        <v>6</v>
      </c>
      <c r="D8" s="42" t="s">
        <v>600</v>
      </c>
      <c r="E8" s="41" t="s">
        <v>9</v>
      </c>
      <c r="F8" s="42" t="s">
        <v>604</v>
      </c>
    </row>
    <row r="9" spans="1:6" s="41" customFormat="1" ht="30" x14ac:dyDescent="0.25">
      <c r="A9" s="41" t="s">
        <v>6</v>
      </c>
      <c r="B9" s="41" t="s">
        <v>209</v>
      </c>
      <c r="D9" s="42" t="s">
        <v>599</v>
      </c>
      <c r="E9" s="41" t="s">
        <v>9</v>
      </c>
      <c r="F9" s="42" t="s">
        <v>607</v>
      </c>
    </row>
    <row r="10" spans="1:6" s="41" customFormat="1" ht="45" x14ac:dyDescent="0.25">
      <c r="A10" s="41" t="s">
        <v>6</v>
      </c>
      <c r="B10" s="41" t="s">
        <v>209</v>
      </c>
      <c r="D10" s="42" t="s">
        <v>598</v>
      </c>
      <c r="E10" s="41" t="s">
        <v>9</v>
      </c>
      <c r="F10" s="42" t="s">
        <v>606</v>
      </c>
    </row>
    <row r="11" spans="1:6" s="13" customFormat="1" x14ac:dyDescent="0.25">
      <c r="A11" s="13" t="s">
        <v>9</v>
      </c>
      <c r="B11" s="13" t="s">
        <v>451</v>
      </c>
      <c r="D11" s="12" t="s">
        <v>601</v>
      </c>
      <c r="E11" s="13" t="s">
        <v>9</v>
      </c>
      <c r="F11" s="57" t="s">
        <v>608</v>
      </c>
    </row>
    <row r="12" spans="1:6" s="18" customFormat="1" ht="18.75" x14ac:dyDescent="0.3">
      <c r="A12" s="16"/>
      <c r="B12" s="16"/>
      <c r="C12" s="17"/>
      <c r="D12" s="16" t="s">
        <v>289</v>
      </c>
      <c r="E12" s="17"/>
      <c r="F12" s="17"/>
    </row>
    <row r="13" spans="1:6" s="13" customFormat="1" ht="30" x14ac:dyDescent="0.25">
      <c r="A13" s="13" t="s">
        <v>9</v>
      </c>
      <c r="B13" s="13" t="s">
        <v>451</v>
      </c>
      <c r="C13" s="13" t="s">
        <v>296</v>
      </c>
      <c r="D13" s="12" t="s">
        <v>290</v>
      </c>
      <c r="E13" s="13" t="s">
        <v>9</v>
      </c>
      <c r="F13" s="14" t="e">
        <f>SUM(F16*F19*(1+F22))</f>
        <v>#VALUE!</v>
      </c>
    </row>
    <row r="14" spans="1:6" s="13" customFormat="1" ht="30" x14ac:dyDescent="0.25">
      <c r="A14" s="13" t="s">
        <v>9</v>
      </c>
      <c r="B14" s="13" t="s">
        <v>451</v>
      </c>
      <c r="C14" s="13" t="s">
        <v>297</v>
      </c>
      <c r="D14" s="12" t="s">
        <v>291</v>
      </c>
      <c r="E14" s="13" t="s">
        <v>9</v>
      </c>
      <c r="F14" s="14" t="e">
        <f>SUM(F17*F20*(1+F23))</f>
        <v>#VALUE!</v>
      </c>
    </row>
    <row r="15" spans="1:6" s="13" customFormat="1" ht="30" x14ac:dyDescent="0.25">
      <c r="A15" s="13" t="s">
        <v>9</v>
      </c>
      <c r="B15" s="13" t="s">
        <v>451</v>
      </c>
      <c r="C15" s="13" t="s">
        <v>298</v>
      </c>
      <c r="D15" s="12" t="s">
        <v>292</v>
      </c>
      <c r="E15" s="13" t="s">
        <v>9</v>
      </c>
      <c r="F15" s="14" t="e">
        <f>SUM(F18*F21*(1+F24))</f>
        <v>#VALUE!</v>
      </c>
    </row>
    <row r="16" spans="1:6" ht="30" x14ac:dyDescent="0.25">
      <c r="A16" s="52" t="s">
        <v>6</v>
      </c>
      <c r="B16" s="52" t="s">
        <v>383</v>
      </c>
      <c r="C16" t="s">
        <v>299</v>
      </c>
      <c r="D16" s="8" t="s">
        <v>613</v>
      </c>
      <c r="E16" s="52" t="s">
        <v>6</v>
      </c>
    </row>
    <row r="17" spans="1:6" ht="45" x14ac:dyDescent="0.25">
      <c r="A17" s="52" t="s">
        <v>6</v>
      </c>
      <c r="B17" s="52" t="s">
        <v>383</v>
      </c>
      <c r="C17" t="s">
        <v>300</v>
      </c>
      <c r="D17" s="8" t="s">
        <v>612</v>
      </c>
      <c r="E17" s="52" t="s">
        <v>6</v>
      </c>
    </row>
    <row r="18" spans="1:6" ht="30" x14ac:dyDescent="0.25">
      <c r="A18" s="52" t="s">
        <v>6</v>
      </c>
      <c r="B18" s="52" t="s">
        <v>383</v>
      </c>
      <c r="C18" t="s">
        <v>301</v>
      </c>
      <c r="D18" s="8" t="s">
        <v>614</v>
      </c>
      <c r="E18" s="52" t="s">
        <v>6</v>
      </c>
    </row>
    <row r="19" spans="1:6" s="13" customFormat="1" ht="30" x14ac:dyDescent="0.25">
      <c r="A19" s="13" t="s">
        <v>9</v>
      </c>
      <c r="B19" s="13" t="s">
        <v>451</v>
      </c>
      <c r="C19" s="13" t="s">
        <v>302</v>
      </c>
      <c r="D19" s="12" t="s">
        <v>593</v>
      </c>
      <c r="E19" s="13" t="s">
        <v>9</v>
      </c>
      <c r="F19" s="12" t="s">
        <v>602</v>
      </c>
    </row>
    <row r="20" spans="1:6" s="13" customFormat="1" ht="30" x14ac:dyDescent="0.25">
      <c r="A20" s="13" t="s">
        <v>9</v>
      </c>
      <c r="B20" s="13" t="s">
        <v>451</v>
      </c>
      <c r="C20" s="13" t="s">
        <v>303</v>
      </c>
      <c r="D20" s="12" t="s">
        <v>594</v>
      </c>
      <c r="E20" s="13" t="s">
        <v>9</v>
      </c>
      <c r="F20" s="12" t="s">
        <v>603</v>
      </c>
    </row>
    <row r="21" spans="1:6" s="13" customFormat="1" ht="30" x14ac:dyDescent="0.25">
      <c r="A21" s="13" t="s">
        <v>9</v>
      </c>
      <c r="B21" s="13" t="s">
        <v>451</v>
      </c>
      <c r="C21" s="13" t="s">
        <v>304</v>
      </c>
      <c r="D21" s="12" t="s">
        <v>595</v>
      </c>
      <c r="E21" s="13" t="s">
        <v>9</v>
      </c>
      <c r="F21" s="12" t="s">
        <v>602</v>
      </c>
    </row>
    <row r="22" spans="1:6" ht="45" x14ac:dyDescent="0.25">
      <c r="A22" s="52" t="s">
        <v>6</v>
      </c>
      <c r="B22" s="52" t="s">
        <v>383</v>
      </c>
      <c r="C22" t="s">
        <v>305</v>
      </c>
      <c r="D22" s="8" t="s">
        <v>611</v>
      </c>
      <c r="E22" s="52" t="s">
        <v>6</v>
      </c>
    </row>
    <row r="23" spans="1:6" ht="45" x14ac:dyDescent="0.25">
      <c r="A23" s="52" t="s">
        <v>6</v>
      </c>
      <c r="B23" s="52" t="s">
        <v>383</v>
      </c>
      <c r="C23" t="s">
        <v>306</v>
      </c>
      <c r="D23" s="8" t="s">
        <v>610</v>
      </c>
      <c r="E23" s="52" t="s">
        <v>6</v>
      </c>
    </row>
    <row r="24" spans="1:6" ht="45" x14ac:dyDescent="0.25">
      <c r="A24" s="52" t="s">
        <v>6</v>
      </c>
      <c r="B24" s="52" t="s">
        <v>383</v>
      </c>
      <c r="C24" t="s">
        <v>307</v>
      </c>
      <c r="D24" s="8" t="s">
        <v>609</v>
      </c>
      <c r="E24" s="52" t="s">
        <v>6</v>
      </c>
    </row>
    <row r="25" spans="1:6" x14ac:dyDescent="0.25">
      <c r="A25" s="52" t="s">
        <v>6</v>
      </c>
      <c r="B25" s="52" t="s">
        <v>7</v>
      </c>
      <c r="C25" t="s">
        <v>308</v>
      </c>
      <c r="D25" t="s">
        <v>293</v>
      </c>
      <c r="E25" s="52" t="s">
        <v>6</v>
      </c>
    </row>
    <row r="26" spans="1:6" x14ac:dyDescent="0.25">
      <c r="A26" s="52" t="s">
        <v>6</v>
      </c>
      <c r="B26" s="52" t="s">
        <v>7</v>
      </c>
      <c r="C26" t="s">
        <v>309</v>
      </c>
      <c r="D26" t="s">
        <v>294</v>
      </c>
      <c r="E26" s="52" t="s">
        <v>6</v>
      </c>
    </row>
    <row r="27" spans="1:6" x14ac:dyDescent="0.25">
      <c r="A27" s="52" t="s">
        <v>6</v>
      </c>
      <c r="B27" s="52" t="s">
        <v>7</v>
      </c>
      <c r="C27" t="s">
        <v>310</v>
      </c>
      <c r="D27" t="s">
        <v>295</v>
      </c>
      <c r="E27" s="52" t="s">
        <v>6</v>
      </c>
    </row>
    <row r="28" spans="1:6" s="18" customFormat="1" ht="18.75" x14ac:dyDescent="0.3">
      <c r="A28" s="16"/>
      <c r="B28" s="16"/>
      <c r="C28" s="17"/>
      <c r="D28" s="16" t="s">
        <v>387</v>
      </c>
      <c r="E28" s="17"/>
      <c r="F28" s="17"/>
    </row>
    <row r="29" spans="1:6" s="13" customFormat="1" ht="30" x14ac:dyDescent="0.25">
      <c r="A29" s="13" t="s">
        <v>9</v>
      </c>
      <c r="B29" s="13" t="s">
        <v>451</v>
      </c>
      <c r="D29" s="12" t="s">
        <v>399</v>
      </c>
      <c r="E29" s="13" t="s">
        <v>9</v>
      </c>
      <c r="F29" s="14">
        <v>1.3</v>
      </c>
    </row>
    <row r="30" spans="1:6" s="13" customFormat="1" ht="30" x14ac:dyDescent="0.25">
      <c r="A30" s="13" t="s">
        <v>9</v>
      </c>
      <c r="B30" s="13" t="s">
        <v>451</v>
      </c>
      <c r="D30" s="12" t="s">
        <v>400</v>
      </c>
      <c r="E30" s="13" t="s">
        <v>9</v>
      </c>
      <c r="F30" s="14">
        <v>0.4</v>
      </c>
    </row>
    <row r="31" spans="1:6" s="18" customFormat="1" ht="18.75" x14ac:dyDescent="0.3">
      <c r="A31" s="16"/>
      <c r="B31" s="16"/>
      <c r="C31" s="17"/>
      <c r="D31" s="16" t="s">
        <v>390</v>
      </c>
      <c r="E31" s="17"/>
      <c r="F31" s="17"/>
    </row>
    <row r="32" spans="1:6" s="13" customFormat="1" ht="45" x14ac:dyDescent="0.25">
      <c r="A32" s="13" t="s">
        <v>9</v>
      </c>
      <c r="B32" s="13" t="s">
        <v>451</v>
      </c>
      <c r="C32" s="13" t="s">
        <v>313</v>
      </c>
      <c r="D32" s="12" t="s">
        <v>395</v>
      </c>
      <c r="E32" s="13" t="s">
        <v>9</v>
      </c>
      <c r="F32" s="14">
        <f>SUM('Tool 05 Power Plants'!F4,'Tool 05 Power Plants'!F16)</f>
        <v>0.91799799999999998</v>
      </c>
    </row>
    <row r="33" spans="1:6" s="13" customFormat="1" ht="45" x14ac:dyDescent="0.25">
      <c r="A33" s="13" t="s">
        <v>9</v>
      </c>
      <c r="B33" s="13" t="s">
        <v>451</v>
      </c>
      <c r="C33" s="13" t="s">
        <v>313</v>
      </c>
      <c r="D33" s="12" t="s">
        <v>394</v>
      </c>
      <c r="E33" s="13" t="s">
        <v>9</v>
      </c>
      <c r="F33" s="14">
        <f>SUM('Tool 05 Power Plants'!F5,'Tool 05 Power Plants'!F17)</f>
        <v>0.888158</v>
      </c>
    </row>
    <row r="34" spans="1:6" s="18" customFormat="1" ht="18.75" x14ac:dyDescent="0.3">
      <c r="A34" s="16"/>
      <c r="B34" s="16"/>
      <c r="C34" s="17"/>
      <c r="D34" s="16" t="s">
        <v>398</v>
      </c>
      <c r="E34" s="17"/>
      <c r="F34" s="17"/>
    </row>
    <row r="35" spans="1:6" s="13" customFormat="1" ht="30" x14ac:dyDescent="0.25">
      <c r="A35" s="13" t="s">
        <v>9</v>
      </c>
      <c r="B35" s="13" t="s">
        <v>451</v>
      </c>
      <c r="D35" s="12" t="s">
        <v>399</v>
      </c>
      <c r="E35" s="13" t="s">
        <v>9</v>
      </c>
      <c r="F35" s="14">
        <v>1.3</v>
      </c>
    </row>
    <row r="36" spans="1:6" s="13" customFormat="1" ht="30" x14ac:dyDescent="0.25">
      <c r="A36" s="13" t="s">
        <v>9</v>
      </c>
      <c r="B36" s="13" t="s">
        <v>451</v>
      </c>
      <c r="D36" s="12" t="s">
        <v>400</v>
      </c>
      <c r="E36" s="13" t="s">
        <v>9</v>
      </c>
      <c r="F36" s="14">
        <v>0.4</v>
      </c>
    </row>
    <row r="37" spans="1:6" s="18" customFormat="1" ht="18.75" x14ac:dyDescent="0.3">
      <c r="A37" s="16" t="s">
        <v>403</v>
      </c>
      <c r="B37" s="16"/>
      <c r="C37" s="17"/>
      <c r="D37" s="16" t="s">
        <v>404</v>
      </c>
      <c r="E37" s="17"/>
      <c r="F37" s="17"/>
    </row>
    <row r="38" spans="1:6" s="13" customFormat="1" ht="30" x14ac:dyDescent="0.25">
      <c r="A38" s="13" t="s">
        <v>9</v>
      </c>
      <c r="B38" s="13" t="s">
        <v>451</v>
      </c>
      <c r="D38" s="12" t="s">
        <v>405</v>
      </c>
      <c r="E38" s="13" t="s">
        <v>9</v>
      </c>
      <c r="F38" s="14">
        <f>11400*1.3*F40</f>
        <v>0</v>
      </c>
    </row>
    <row r="39" spans="1:6" s="13" customFormat="1" ht="30" x14ac:dyDescent="0.25">
      <c r="A39" s="13" t="s">
        <v>9</v>
      </c>
      <c r="B39" s="13" t="s">
        <v>451</v>
      </c>
      <c r="D39" s="12" t="s">
        <v>406</v>
      </c>
      <c r="E39" s="13" t="s">
        <v>9</v>
      </c>
      <c r="F39" s="14">
        <f>11400*1.3*F41</f>
        <v>0</v>
      </c>
    </row>
    <row r="40" spans="1:6" ht="45" x14ac:dyDescent="0.25">
      <c r="A40" s="52" t="s">
        <v>9</v>
      </c>
      <c r="B40" s="52" t="s">
        <v>383</v>
      </c>
      <c r="D40" s="8" t="s">
        <v>615</v>
      </c>
      <c r="E40" s="52" t="s">
        <v>6</v>
      </c>
    </row>
    <row r="41" spans="1:6" ht="45" x14ac:dyDescent="0.25">
      <c r="A41" s="52" t="s">
        <v>9</v>
      </c>
      <c r="B41" s="52" t="s">
        <v>383</v>
      </c>
      <c r="D41" s="8" t="s">
        <v>616</v>
      </c>
      <c r="E41" s="52" t="s">
        <v>6</v>
      </c>
    </row>
    <row r="42" spans="1:6" x14ac:dyDescent="0.25">
      <c r="D42" s="8"/>
    </row>
    <row r="43" spans="1:6" x14ac:dyDescent="0.25">
      <c r="D43" s="8"/>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60A63-D4D0-4432-BC9D-B7AC496AB598}">
  <dimension ref="A1:F25"/>
  <sheetViews>
    <sheetView workbookViewId="0">
      <selection activeCell="E7" sqref="E7"/>
    </sheetView>
  </sheetViews>
  <sheetFormatPr defaultRowHeight="15" x14ac:dyDescent="0.25"/>
  <cols>
    <col min="1" max="1" width="18.140625" bestFit="1" customWidth="1"/>
    <col min="2" max="2" width="16.140625" bestFit="1" customWidth="1"/>
    <col min="3" max="3" width="13.42578125" bestFit="1" customWidth="1"/>
    <col min="4" max="4" width="42.85546875" customWidth="1"/>
    <col min="5" max="5" width="29.28515625" bestFit="1" customWidth="1"/>
    <col min="6" max="6" width="49.28515625"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318</v>
      </c>
      <c r="E2" s="17"/>
      <c r="F2" s="17"/>
    </row>
    <row r="3" spans="1:6" x14ac:dyDescent="0.25">
      <c r="A3" s="10" t="s">
        <v>6</v>
      </c>
      <c r="B3" s="10" t="s">
        <v>7</v>
      </c>
      <c r="C3" s="40"/>
      <c r="D3" s="10" t="s">
        <v>384</v>
      </c>
      <c r="E3" s="10" t="s">
        <v>6</v>
      </c>
      <c r="F3" s="10" t="s">
        <v>385</v>
      </c>
    </row>
    <row r="4" spans="1:6" s="13" customFormat="1" ht="45" x14ac:dyDescent="0.25">
      <c r="A4" s="13" t="s">
        <v>9</v>
      </c>
      <c r="B4" s="13" t="s">
        <v>382</v>
      </c>
      <c r="C4" s="13" t="s">
        <v>313</v>
      </c>
      <c r="D4" s="12" t="s">
        <v>395</v>
      </c>
      <c r="E4" s="13" t="s">
        <v>9</v>
      </c>
      <c r="F4" s="14">
        <f>(F7*F8*F9)/F10</f>
        <v>0.60550999999999999</v>
      </c>
    </row>
    <row r="5" spans="1:6" s="13" customFormat="1" ht="60" x14ac:dyDescent="0.25">
      <c r="A5" s="13" t="s">
        <v>9</v>
      </c>
      <c r="B5" s="13" t="s">
        <v>382</v>
      </c>
      <c r="C5" s="13" t="s">
        <v>313</v>
      </c>
      <c r="D5" s="12" t="s">
        <v>394</v>
      </c>
      <c r="E5" s="13" t="s">
        <v>9</v>
      </c>
      <c r="F5" s="14">
        <f>ABS(((F7*F8)-(F11/F12))*F9)/F10</f>
        <v>0.59040999999999999</v>
      </c>
    </row>
    <row r="6" spans="1:6" s="41" customFormat="1" ht="30" x14ac:dyDescent="0.25">
      <c r="A6" s="41" t="s">
        <v>6</v>
      </c>
      <c r="B6" s="41" t="s">
        <v>377</v>
      </c>
      <c r="D6" s="42" t="s">
        <v>376</v>
      </c>
      <c r="E6" s="41" t="s">
        <v>9</v>
      </c>
      <c r="F6" s="42" t="s">
        <v>378</v>
      </c>
    </row>
    <row r="7" spans="1:6" ht="60" x14ac:dyDescent="0.25">
      <c r="A7" t="s">
        <v>6</v>
      </c>
      <c r="B7" t="s">
        <v>383</v>
      </c>
      <c r="C7" t="s">
        <v>314</v>
      </c>
      <c r="D7" s="8" t="s">
        <v>389</v>
      </c>
      <c r="E7" t="s">
        <v>6</v>
      </c>
      <c r="F7">
        <v>2</v>
      </c>
    </row>
    <row r="8" spans="1:6" s="13" customFormat="1" ht="45" x14ac:dyDescent="0.25">
      <c r="A8" s="13" t="s">
        <v>9</v>
      </c>
      <c r="B8" s="13" t="s">
        <v>382</v>
      </c>
      <c r="C8" s="13" t="s">
        <v>315</v>
      </c>
      <c r="D8" s="12" t="s">
        <v>379</v>
      </c>
      <c r="E8" s="13" t="s">
        <v>9</v>
      </c>
      <c r="F8" s="14">
        <f>'Tool 05 Avg Net Calorific Value'!C4</f>
        <v>40.1</v>
      </c>
    </row>
    <row r="9" spans="1:6" s="13" customFormat="1" ht="30" x14ac:dyDescent="0.25">
      <c r="A9" s="13" t="s">
        <v>9</v>
      </c>
      <c r="B9" s="13" t="s">
        <v>382</v>
      </c>
      <c r="C9" s="13" t="s">
        <v>316</v>
      </c>
      <c r="D9" s="12" t="s">
        <v>380</v>
      </c>
      <c r="E9" s="13" t="s">
        <v>9</v>
      </c>
      <c r="F9" s="14">
        <f>'Tool 05 Fuel Type Emission Fact'!C4*0.001</f>
        <v>75.5</v>
      </c>
    </row>
    <row r="10" spans="1:6" ht="45" x14ac:dyDescent="0.25">
      <c r="A10" s="52" t="s">
        <v>6</v>
      </c>
      <c r="B10" t="s">
        <v>383</v>
      </c>
      <c r="C10" t="s">
        <v>317</v>
      </c>
      <c r="D10" s="8" t="s">
        <v>381</v>
      </c>
      <c r="E10" s="52" t="s">
        <v>6</v>
      </c>
      <c r="F10" s="11">
        <v>10000</v>
      </c>
    </row>
    <row r="11" spans="1:6" ht="93.75" customHeight="1" x14ac:dyDescent="0.25">
      <c r="A11" s="52" t="s">
        <v>6</v>
      </c>
      <c r="C11" t="s">
        <v>397</v>
      </c>
      <c r="D11" s="8" t="s">
        <v>396</v>
      </c>
      <c r="E11" s="52" t="s">
        <v>6</v>
      </c>
      <c r="F11" s="11">
        <v>2</v>
      </c>
    </row>
    <row r="12" spans="1:6" s="13" customFormat="1" ht="60" x14ac:dyDescent="0.25">
      <c r="A12" s="13" t="s">
        <v>9</v>
      </c>
      <c r="B12" s="13" t="s">
        <v>382</v>
      </c>
      <c r="C12" s="13" t="s">
        <v>391</v>
      </c>
      <c r="D12" s="12" t="s">
        <v>393</v>
      </c>
      <c r="E12" s="13" t="s">
        <v>9</v>
      </c>
      <c r="F12" s="14">
        <v>1</v>
      </c>
    </row>
    <row r="13" spans="1:6" s="13" customFormat="1" ht="45" x14ac:dyDescent="0.25">
      <c r="A13" s="13" t="s">
        <v>9</v>
      </c>
      <c r="B13" s="13" t="s">
        <v>382</v>
      </c>
      <c r="C13" s="13" t="s">
        <v>391</v>
      </c>
      <c r="D13" s="12" t="s">
        <v>392</v>
      </c>
      <c r="E13" s="13" t="s">
        <v>9</v>
      </c>
      <c r="F13" s="14">
        <v>0.6</v>
      </c>
    </row>
    <row r="14" spans="1:6" s="18" customFormat="1" ht="18.75" x14ac:dyDescent="0.3">
      <c r="A14" s="16"/>
      <c r="B14" s="16"/>
      <c r="C14" s="17"/>
      <c r="D14" s="16" t="s">
        <v>318</v>
      </c>
      <c r="E14" s="17"/>
      <c r="F14" s="17"/>
    </row>
    <row r="15" spans="1:6" x14ac:dyDescent="0.25">
      <c r="A15" s="10" t="s">
        <v>6</v>
      </c>
      <c r="B15" s="10" t="s">
        <v>7</v>
      </c>
      <c r="C15" s="10"/>
      <c r="D15" s="10" t="s">
        <v>384</v>
      </c>
      <c r="E15" s="10" t="s">
        <v>6</v>
      </c>
      <c r="F15" s="10" t="s">
        <v>386</v>
      </c>
    </row>
    <row r="16" spans="1:6" s="13" customFormat="1" ht="45" x14ac:dyDescent="0.25">
      <c r="A16" s="13" t="s">
        <v>9</v>
      </c>
      <c r="B16" s="13" t="s">
        <v>382</v>
      </c>
      <c r="C16" s="13" t="s">
        <v>313</v>
      </c>
      <c r="D16" s="12" t="s">
        <v>395</v>
      </c>
      <c r="E16" s="13" t="s">
        <v>9</v>
      </c>
      <c r="F16" s="14">
        <f>(F19*F20*F21)/F22</f>
        <v>0.31248799999999999</v>
      </c>
    </row>
    <row r="17" spans="1:6" s="13" customFormat="1" ht="60" x14ac:dyDescent="0.25">
      <c r="A17" s="13" t="s">
        <v>9</v>
      </c>
      <c r="B17" s="13" t="s">
        <v>382</v>
      </c>
      <c r="C17" s="13" t="s">
        <v>313</v>
      </c>
      <c r="D17" s="12" t="s">
        <v>394</v>
      </c>
      <c r="E17" s="13" t="s">
        <v>9</v>
      </c>
      <c r="F17" s="14">
        <f>ABS(((F19*F20)-(F23/F24))*F21)/F22</f>
        <v>0.29774800000000001</v>
      </c>
    </row>
    <row r="18" spans="1:6" s="41" customFormat="1" ht="30" x14ac:dyDescent="0.25">
      <c r="A18" s="41" t="s">
        <v>6</v>
      </c>
      <c r="B18" s="41" t="s">
        <v>617</v>
      </c>
      <c r="D18" s="42" t="s">
        <v>376</v>
      </c>
      <c r="E18" s="41" t="s">
        <v>9</v>
      </c>
      <c r="F18" s="42" t="s">
        <v>378</v>
      </c>
    </row>
    <row r="19" spans="1:6" ht="60" x14ac:dyDescent="0.25">
      <c r="A19" s="52" t="s">
        <v>6</v>
      </c>
      <c r="B19" t="s">
        <v>383</v>
      </c>
      <c r="C19" t="s">
        <v>314</v>
      </c>
      <c r="D19" s="8" t="s">
        <v>389</v>
      </c>
      <c r="E19" s="52" t="s">
        <v>6</v>
      </c>
      <c r="F19" s="11">
        <v>1</v>
      </c>
    </row>
    <row r="20" spans="1:6" s="13" customFormat="1" ht="45" x14ac:dyDescent="0.25">
      <c r="A20" s="13" t="s">
        <v>9</v>
      </c>
      <c r="B20" s="13" t="s">
        <v>382</v>
      </c>
      <c r="C20" s="13" t="s">
        <v>315</v>
      </c>
      <c r="D20" s="12" t="s">
        <v>379</v>
      </c>
      <c r="E20" s="13" t="s">
        <v>9</v>
      </c>
      <c r="F20" s="14">
        <f>'Tool 05 Avg Net Calorific Value'!C11</f>
        <v>42.4</v>
      </c>
    </row>
    <row r="21" spans="1:6" s="13" customFormat="1" ht="30" x14ac:dyDescent="0.25">
      <c r="A21" s="13" t="s">
        <v>9</v>
      </c>
      <c r="B21" s="13" t="s">
        <v>382</v>
      </c>
      <c r="C21" s="13" t="s">
        <v>316</v>
      </c>
      <c r="D21" s="12" t="s">
        <v>380</v>
      </c>
      <c r="E21" s="13" t="s">
        <v>9</v>
      </c>
      <c r="F21" s="14">
        <f>'Tool 05 Fuel Type Emission Fact'!C11*0.001</f>
        <v>73.7</v>
      </c>
    </row>
    <row r="22" spans="1:6" ht="45" x14ac:dyDescent="0.25">
      <c r="A22" s="52" t="s">
        <v>6</v>
      </c>
      <c r="B22" t="s">
        <v>383</v>
      </c>
      <c r="C22" t="s">
        <v>317</v>
      </c>
      <c r="D22" s="8" t="s">
        <v>381</v>
      </c>
      <c r="E22" s="52" t="s">
        <v>6</v>
      </c>
      <c r="F22" s="11">
        <v>10000</v>
      </c>
    </row>
    <row r="23" spans="1:6" ht="93" customHeight="1" x14ac:dyDescent="0.25">
      <c r="A23" s="52" t="s">
        <v>6</v>
      </c>
      <c r="C23" t="s">
        <v>397</v>
      </c>
      <c r="D23" s="8" t="s">
        <v>396</v>
      </c>
      <c r="E23" s="52" t="s">
        <v>6</v>
      </c>
      <c r="F23" s="11">
        <v>2</v>
      </c>
    </row>
    <row r="24" spans="1:6" s="13" customFormat="1" ht="60" x14ac:dyDescent="0.25">
      <c r="A24" s="13" t="s">
        <v>9</v>
      </c>
      <c r="B24" s="13" t="s">
        <v>382</v>
      </c>
      <c r="C24" s="13" t="s">
        <v>391</v>
      </c>
      <c r="D24" s="12" t="s">
        <v>393</v>
      </c>
      <c r="E24" s="13" t="s">
        <v>9</v>
      </c>
      <c r="F24" s="14">
        <v>1</v>
      </c>
    </row>
    <row r="25" spans="1:6" s="13" customFormat="1" ht="45" x14ac:dyDescent="0.25">
      <c r="A25" s="13" t="s">
        <v>9</v>
      </c>
      <c r="B25" s="13" t="s">
        <v>382</v>
      </c>
      <c r="C25" s="13" t="s">
        <v>391</v>
      </c>
      <c r="D25" s="12" t="s">
        <v>392</v>
      </c>
      <c r="E25" s="13" t="s">
        <v>9</v>
      </c>
      <c r="F25" s="14">
        <v>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40F4E-8F7B-49C4-B90E-E6FC6388DC06}">
  <dimension ref="B1:C55"/>
  <sheetViews>
    <sheetView workbookViewId="0">
      <selection activeCell="B4" sqref="B4:B55"/>
    </sheetView>
  </sheetViews>
  <sheetFormatPr defaultRowHeight="15" x14ac:dyDescent="0.25"/>
  <cols>
    <col min="2" max="2" width="33" customWidth="1"/>
    <col min="3" max="3" width="31.7109375" customWidth="1"/>
  </cols>
  <sheetData>
    <row r="1" spans="2:3" ht="15.75" thickBot="1" x14ac:dyDescent="0.3"/>
    <row r="2" spans="2:3" ht="19.5" thickBot="1" x14ac:dyDescent="0.35">
      <c r="B2" s="47" t="s">
        <v>373</v>
      </c>
      <c r="C2" s="48"/>
    </row>
    <row r="3" spans="2:3" ht="16.5" thickBot="1" x14ac:dyDescent="0.3">
      <c r="B3" s="34" t="s">
        <v>319</v>
      </c>
      <c r="C3" s="34" t="s">
        <v>374</v>
      </c>
    </row>
    <row r="4" spans="2:3" x14ac:dyDescent="0.25">
      <c r="B4" s="38" t="s">
        <v>320</v>
      </c>
      <c r="C4" s="35">
        <v>40.1</v>
      </c>
    </row>
    <row r="5" spans="2:3" x14ac:dyDescent="0.25">
      <c r="B5" s="31" t="s">
        <v>321</v>
      </c>
      <c r="C5" s="36">
        <v>27.5</v>
      </c>
    </row>
    <row r="6" spans="2:3" x14ac:dyDescent="0.25">
      <c r="B6" s="31" t="s">
        <v>322</v>
      </c>
      <c r="C6" s="36">
        <v>40.9</v>
      </c>
    </row>
    <row r="7" spans="2:3" x14ac:dyDescent="0.25">
      <c r="B7" s="31" t="s">
        <v>323</v>
      </c>
      <c r="C7" s="36">
        <v>42.5</v>
      </c>
    </row>
    <row r="8" spans="2:3" x14ac:dyDescent="0.25">
      <c r="B8" s="31" t="s">
        <v>324</v>
      </c>
      <c r="C8" s="36">
        <v>42.5</v>
      </c>
    </row>
    <row r="9" spans="2:3" x14ac:dyDescent="0.25">
      <c r="B9" s="31" t="s">
        <v>325</v>
      </c>
      <c r="C9" s="36">
        <v>42.5</v>
      </c>
    </row>
    <row r="10" spans="2:3" x14ac:dyDescent="0.25">
      <c r="B10" s="31" t="s">
        <v>326</v>
      </c>
      <c r="C10" s="36">
        <v>42</v>
      </c>
    </row>
    <row r="11" spans="2:3" x14ac:dyDescent="0.25">
      <c r="B11" s="31" t="s">
        <v>327</v>
      </c>
      <c r="C11" s="36">
        <v>42.4</v>
      </c>
    </row>
    <row r="12" spans="2:3" x14ac:dyDescent="0.25">
      <c r="B12" s="31" t="s">
        <v>328</v>
      </c>
      <c r="C12" s="36">
        <v>32.1</v>
      </c>
    </row>
    <row r="13" spans="2:3" x14ac:dyDescent="0.25">
      <c r="B13" s="31" t="s">
        <v>329</v>
      </c>
      <c r="C13" s="36">
        <v>41.4</v>
      </c>
    </row>
    <row r="14" spans="2:3" x14ac:dyDescent="0.25">
      <c r="B14" s="31" t="s">
        <v>330</v>
      </c>
      <c r="C14" s="36">
        <v>39.799999999999997</v>
      </c>
    </row>
    <row r="15" spans="2:3" x14ac:dyDescent="0.25">
      <c r="B15" s="31" t="s">
        <v>331</v>
      </c>
      <c r="C15" s="36">
        <v>44.8</v>
      </c>
    </row>
    <row r="16" spans="2:3" x14ac:dyDescent="0.25">
      <c r="B16" s="31" t="s">
        <v>332</v>
      </c>
      <c r="C16" s="36">
        <v>44.9</v>
      </c>
    </row>
    <row r="17" spans="2:3" x14ac:dyDescent="0.25">
      <c r="B17" s="31" t="s">
        <v>333</v>
      </c>
      <c r="C17" s="36">
        <v>41.8</v>
      </c>
    </row>
    <row r="18" spans="2:3" x14ac:dyDescent="0.25">
      <c r="B18" s="31" t="s">
        <v>334</v>
      </c>
      <c r="C18" s="36">
        <v>33.5</v>
      </c>
    </row>
    <row r="19" spans="2:3" x14ac:dyDescent="0.25">
      <c r="B19" s="31" t="s">
        <v>335</v>
      </c>
      <c r="C19" s="36">
        <v>33.5</v>
      </c>
    </row>
    <row r="20" spans="2:3" x14ac:dyDescent="0.25">
      <c r="B20" s="31" t="s">
        <v>336</v>
      </c>
      <c r="C20" s="36">
        <v>29.7</v>
      </c>
    </row>
    <row r="21" spans="2:3" x14ac:dyDescent="0.25">
      <c r="B21" s="31" t="s">
        <v>337</v>
      </c>
      <c r="C21" s="36">
        <v>36.299999999999997</v>
      </c>
    </row>
    <row r="22" spans="2:3" x14ac:dyDescent="0.25">
      <c r="B22" s="31" t="s">
        <v>338</v>
      </c>
      <c r="C22" s="36">
        <v>47.5</v>
      </c>
    </row>
    <row r="23" spans="2:3" x14ac:dyDescent="0.25">
      <c r="B23" s="31" t="s">
        <v>339</v>
      </c>
      <c r="C23" s="36">
        <v>33.700000000000003</v>
      </c>
    </row>
    <row r="24" spans="2:3" x14ac:dyDescent="0.25">
      <c r="B24" s="31" t="s">
        <v>340</v>
      </c>
      <c r="C24" s="36">
        <v>33.700000000000003</v>
      </c>
    </row>
    <row r="25" spans="2:3" x14ac:dyDescent="0.25">
      <c r="B25" s="31" t="s">
        <v>341</v>
      </c>
      <c r="C25" s="36">
        <v>33.700000000000003</v>
      </c>
    </row>
    <row r="26" spans="2:3" x14ac:dyDescent="0.25">
      <c r="B26" s="31" t="s">
        <v>342</v>
      </c>
      <c r="C26" s="36">
        <v>21.6</v>
      </c>
    </row>
    <row r="27" spans="2:3" x14ac:dyDescent="0.25">
      <c r="B27" s="31" t="s">
        <v>343</v>
      </c>
      <c r="C27" s="36">
        <v>24</v>
      </c>
    </row>
    <row r="28" spans="2:3" x14ac:dyDescent="0.25">
      <c r="B28" s="31" t="s">
        <v>344</v>
      </c>
      <c r="C28" s="36">
        <v>19.899999999999999</v>
      </c>
    </row>
    <row r="29" spans="2:3" x14ac:dyDescent="0.25">
      <c r="B29" s="31" t="s">
        <v>345</v>
      </c>
      <c r="C29" s="36">
        <v>11.5</v>
      </c>
    </row>
    <row r="30" spans="2:3" x14ac:dyDescent="0.25">
      <c r="B30" s="31" t="s">
        <v>346</v>
      </c>
      <c r="C30" s="36">
        <v>5.5</v>
      </c>
    </row>
    <row r="31" spans="2:3" x14ac:dyDescent="0.25">
      <c r="B31" s="31" t="s">
        <v>347</v>
      </c>
      <c r="C31" s="36">
        <v>7.1</v>
      </c>
    </row>
    <row r="32" spans="2:3" x14ac:dyDescent="0.25">
      <c r="B32" s="31" t="s">
        <v>348</v>
      </c>
      <c r="C32" s="36">
        <v>15.1</v>
      </c>
    </row>
    <row r="33" spans="2:3" x14ac:dyDescent="0.25">
      <c r="B33" s="31" t="s">
        <v>349</v>
      </c>
      <c r="C33" s="36">
        <v>15.1</v>
      </c>
    </row>
    <row r="34" spans="2:3" x14ac:dyDescent="0.25">
      <c r="B34" s="31" t="s">
        <v>350</v>
      </c>
      <c r="C34" s="36">
        <v>25.1</v>
      </c>
    </row>
    <row r="35" spans="2:3" x14ac:dyDescent="0.25">
      <c r="B35" s="31" t="s">
        <v>351</v>
      </c>
      <c r="C35" s="36">
        <v>25.1</v>
      </c>
    </row>
    <row r="36" spans="2:3" x14ac:dyDescent="0.25">
      <c r="B36" s="31" t="s">
        <v>352</v>
      </c>
      <c r="C36" s="36">
        <v>14.1</v>
      </c>
    </row>
    <row r="37" spans="2:3" x14ac:dyDescent="0.25">
      <c r="B37" s="31" t="s">
        <v>353</v>
      </c>
      <c r="C37" s="36">
        <v>19.600000000000001</v>
      </c>
    </row>
    <row r="38" spans="2:3" x14ac:dyDescent="0.25">
      <c r="B38" s="31" t="s">
        <v>354</v>
      </c>
      <c r="C38" s="36">
        <v>19.600000000000001</v>
      </c>
    </row>
    <row r="39" spans="2:3" x14ac:dyDescent="0.25">
      <c r="B39" s="31" t="s">
        <v>355</v>
      </c>
      <c r="C39" s="36">
        <v>1.2</v>
      </c>
    </row>
    <row r="40" spans="2:3" x14ac:dyDescent="0.25">
      <c r="B40" s="31" t="s">
        <v>356</v>
      </c>
      <c r="C40" s="36">
        <v>3.8</v>
      </c>
    </row>
    <row r="41" spans="2:3" x14ac:dyDescent="0.25">
      <c r="B41" s="31" t="s">
        <v>357</v>
      </c>
      <c r="C41" s="36">
        <v>46.5</v>
      </c>
    </row>
    <row r="42" spans="2:3" ht="30" x14ac:dyDescent="0.25">
      <c r="B42" s="39" t="s">
        <v>358</v>
      </c>
      <c r="C42" s="36">
        <v>7</v>
      </c>
    </row>
    <row r="43" spans="2:3" x14ac:dyDescent="0.25">
      <c r="B43" s="31" t="s">
        <v>360</v>
      </c>
      <c r="C43" s="36">
        <v>20.3</v>
      </c>
    </row>
    <row r="44" spans="2:3" x14ac:dyDescent="0.25">
      <c r="B44" s="31" t="s">
        <v>361</v>
      </c>
      <c r="C44" s="36">
        <v>7.8</v>
      </c>
    </row>
    <row r="45" spans="2:3" x14ac:dyDescent="0.25">
      <c r="B45" s="31" t="s">
        <v>362</v>
      </c>
      <c r="C45" s="36">
        <v>7.9</v>
      </c>
    </row>
    <row r="46" spans="2:3" x14ac:dyDescent="0.25">
      <c r="B46" s="31" t="s">
        <v>363</v>
      </c>
      <c r="C46" s="36">
        <v>5.9</v>
      </c>
    </row>
    <row r="47" spans="2:3" x14ac:dyDescent="0.25">
      <c r="B47" s="31" t="s">
        <v>364</v>
      </c>
      <c r="C47" s="36">
        <v>5.9</v>
      </c>
    </row>
    <row r="48" spans="2:3" x14ac:dyDescent="0.25">
      <c r="B48" s="31" t="s">
        <v>365</v>
      </c>
      <c r="C48" s="36">
        <v>14.9</v>
      </c>
    </row>
    <row r="49" spans="2:3" x14ac:dyDescent="0.25">
      <c r="B49" s="31" t="s">
        <v>366</v>
      </c>
      <c r="C49" s="36">
        <v>13.6</v>
      </c>
    </row>
    <row r="50" spans="2:3" x14ac:dyDescent="0.25">
      <c r="B50" s="31" t="s">
        <v>367</v>
      </c>
      <c r="C50" s="36">
        <v>13.6</v>
      </c>
    </row>
    <row r="51" spans="2:3" x14ac:dyDescent="0.25">
      <c r="B51" s="31" t="s">
        <v>368</v>
      </c>
      <c r="C51" s="36">
        <v>13.8</v>
      </c>
    </row>
    <row r="52" spans="2:3" x14ac:dyDescent="0.25">
      <c r="B52" s="31" t="s">
        <v>369</v>
      </c>
      <c r="C52" s="36">
        <v>25.4</v>
      </c>
    </row>
    <row r="53" spans="2:3" x14ac:dyDescent="0.25">
      <c r="B53" s="31" t="s">
        <v>370</v>
      </c>
      <c r="C53" s="36">
        <v>25.4</v>
      </c>
    </row>
    <row r="54" spans="2:3" x14ac:dyDescent="0.25">
      <c r="B54" s="31" t="s">
        <v>371</v>
      </c>
      <c r="C54" s="36">
        <v>25.4</v>
      </c>
    </row>
    <row r="55" spans="2:3" ht="15.75" thickBot="1" x14ac:dyDescent="0.3">
      <c r="B55" s="32" t="s">
        <v>372</v>
      </c>
      <c r="C55" s="37">
        <v>6.8</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ACB71-9BF9-4ECD-8869-3E44E4D98E5F}">
  <dimension ref="A1:C56"/>
  <sheetViews>
    <sheetView topLeftCell="A30" workbookViewId="0">
      <selection activeCell="F17" sqref="F17"/>
    </sheetView>
  </sheetViews>
  <sheetFormatPr defaultRowHeight="15" x14ac:dyDescent="0.25"/>
  <cols>
    <col min="2" max="2" width="32.85546875" customWidth="1"/>
    <col min="3" max="3" width="39.7109375" customWidth="1"/>
  </cols>
  <sheetData>
    <row r="1" spans="1:3" ht="15.75" thickBot="1" x14ac:dyDescent="0.3"/>
    <row r="2" spans="1:3" ht="19.5" thickBot="1" x14ac:dyDescent="0.35">
      <c r="B2" s="49" t="s">
        <v>375</v>
      </c>
      <c r="C2" s="50"/>
    </row>
    <row r="3" spans="1:3" ht="16.5" thickBot="1" x14ac:dyDescent="0.3">
      <c r="B3" s="33" t="s">
        <v>319</v>
      </c>
      <c r="C3" s="34" t="s">
        <v>388</v>
      </c>
    </row>
    <row r="4" spans="1:3" x14ac:dyDescent="0.25">
      <c r="B4" s="26" t="s">
        <v>320</v>
      </c>
      <c r="C4" s="30">
        <v>75500</v>
      </c>
    </row>
    <row r="5" spans="1:3" x14ac:dyDescent="0.25">
      <c r="B5" s="27" t="s">
        <v>321</v>
      </c>
      <c r="C5" s="31">
        <v>85400</v>
      </c>
    </row>
    <row r="6" spans="1:3" x14ac:dyDescent="0.25">
      <c r="B6" s="27" t="s">
        <v>322</v>
      </c>
      <c r="C6" s="31">
        <v>70400</v>
      </c>
    </row>
    <row r="7" spans="1:3" x14ac:dyDescent="0.25">
      <c r="B7" s="27" t="s">
        <v>323</v>
      </c>
      <c r="C7" s="31">
        <v>73000</v>
      </c>
    </row>
    <row r="8" spans="1:3" x14ac:dyDescent="0.25">
      <c r="B8" s="27" t="s">
        <v>324</v>
      </c>
      <c r="C8" s="31">
        <v>73000</v>
      </c>
    </row>
    <row r="9" spans="1:3" x14ac:dyDescent="0.25">
      <c r="B9" s="27" t="s">
        <v>325</v>
      </c>
      <c r="C9" s="31">
        <v>73000</v>
      </c>
    </row>
    <row r="10" spans="1:3" x14ac:dyDescent="0.25">
      <c r="B10" s="27" t="s">
        <v>326</v>
      </c>
      <c r="C10" s="31">
        <v>74400</v>
      </c>
    </row>
    <row r="11" spans="1:3" x14ac:dyDescent="0.25">
      <c r="B11" s="27" t="s">
        <v>327</v>
      </c>
      <c r="C11" s="31">
        <v>73700</v>
      </c>
    </row>
    <row r="12" spans="1:3" x14ac:dyDescent="0.25">
      <c r="B12" s="27" t="s">
        <v>328</v>
      </c>
      <c r="C12" s="31">
        <v>79200</v>
      </c>
    </row>
    <row r="13" spans="1:3" x14ac:dyDescent="0.25">
      <c r="B13" s="27" t="s">
        <v>329</v>
      </c>
      <c r="C13" s="31">
        <v>74800</v>
      </c>
    </row>
    <row r="14" spans="1:3" x14ac:dyDescent="0.25">
      <c r="B14" s="27" t="s">
        <v>330</v>
      </c>
      <c r="C14" s="31">
        <v>78800</v>
      </c>
    </row>
    <row r="15" spans="1:3" x14ac:dyDescent="0.25">
      <c r="B15" s="27" t="s">
        <v>331</v>
      </c>
      <c r="C15" s="31">
        <v>65600</v>
      </c>
    </row>
    <row r="16" spans="1:3" x14ac:dyDescent="0.25">
      <c r="B16" s="27" t="s">
        <v>332</v>
      </c>
      <c r="C16" s="31">
        <v>68600</v>
      </c>
    </row>
    <row r="17" spans="2:3" x14ac:dyDescent="0.25">
      <c r="B17" s="27" t="s">
        <v>333</v>
      </c>
      <c r="C17" s="31">
        <v>76300</v>
      </c>
    </row>
    <row r="18" spans="2:3" x14ac:dyDescent="0.25">
      <c r="B18" s="27" t="s">
        <v>334</v>
      </c>
      <c r="C18" s="31">
        <v>89900</v>
      </c>
    </row>
    <row r="19" spans="2:3" x14ac:dyDescent="0.25">
      <c r="B19" s="27" t="s">
        <v>335</v>
      </c>
      <c r="C19" s="31">
        <v>75200</v>
      </c>
    </row>
    <row r="20" spans="2:3" x14ac:dyDescent="0.25">
      <c r="B20" s="27" t="s">
        <v>336</v>
      </c>
      <c r="C20" s="31">
        <v>115000</v>
      </c>
    </row>
    <row r="21" spans="2:3" x14ac:dyDescent="0.25">
      <c r="B21" s="27" t="s">
        <v>337</v>
      </c>
      <c r="C21" s="31">
        <v>76600</v>
      </c>
    </row>
    <row r="22" spans="2:3" x14ac:dyDescent="0.25">
      <c r="B22" s="27" t="s">
        <v>338</v>
      </c>
      <c r="C22" s="31">
        <v>69000</v>
      </c>
    </row>
    <row r="23" spans="2:3" x14ac:dyDescent="0.25">
      <c r="B23" s="27" t="s">
        <v>339</v>
      </c>
      <c r="C23" s="31">
        <v>74400</v>
      </c>
    </row>
    <row r="24" spans="2:3" x14ac:dyDescent="0.25">
      <c r="B24" s="27" t="s">
        <v>340</v>
      </c>
      <c r="C24" s="31">
        <v>74400</v>
      </c>
    </row>
    <row r="25" spans="2:3" x14ac:dyDescent="0.25">
      <c r="B25" s="27" t="s">
        <v>341</v>
      </c>
      <c r="C25" s="31">
        <v>74400</v>
      </c>
    </row>
    <row r="26" spans="2:3" x14ac:dyDescent="0.25">
      <c r="B26" s="27" t="s">
        <v>342</v>
      </c>
      <c r="C26" s="31">
        <v>101000</v>
      </c>
    </row>
    <row r="27" spans="2:3" x14ac:dyDescent="0.25">
      <c r="B27" s="27" t="s">
        <v>343</v>
      </c>
      <c r="C27" s="31">
        <v>101000</v>
      </c>
    </row>
    <row r="28" spans="2:3" x14ac:dyDescent="0.25">
      <c r="B28" s="27" t="s">
        <v>344</v>
      </c>
      <c r="C28" s="31">
        <v>99700</v>
      </c>
    </row>
    <row r="29" spans="2:3" x14ac:dyDescent="0.25">
      <c r="B29" s="27" t="s">
        <v>345</v>
      </c>
      <c r="C29" s="31">
        <v>100000</v>
      </c>
    </row>
    <row r="30" spans="2:3" x14ac:dyDescent="0.25">
      <c r="B30" s="27" t="s">
        <v>346</v>
      </c>
      <c r="C30" s="31">
        <v>115000</v>
      </c>
    </row>
    <row r="31" spans="2:3" x14ac:dyDescent="0.25">
      <c r="B31" s="27" t="s">
        <v>347</v>
      </c>
      <c r="C31" s="31">
        <v>125000</v>
      </c>
    </row>
    <row r="32" spans="2:3" x14ac:dyDescent="0.25">
      <c r="B32" s="27" t="s">
        <v>348</v>
      </c>
      <c r="C32" s="31">
        <v>109000</v>
      </c>
    </row>
    <row r="33" spans="2:3" x14ac:dyDescent="0.25">
      <c r="B33" s="27" t="s">
        <v>349</v>
      </c>
      <c r="C33" s="31">
        <v>109000</v>
      </c>
    </row>
    <row r="34" spans="2:3" x14ac:dyDescent="0.25">
      <c r="B34" s="27" t="s">
        <v>350</v>
      </c>
      <c r="C34" s="31">
        <v>119000</v>
      </c>
    </row>
    <row r="35" spans="2:3" x14ac:dyDescent="0.25">
      <c r="B35" s="27" t="s">
        <v>351</v>
      </c>
      <c r="C35" s="31">
        <v>119000</v>
      </c>
    </row>
    <row r="36" spans="2:3" x14ac:dyDescent="0.25">
      <c r="B36" s="27" t="s">
        <v>352</v>
      </c>
      <c r="C36" s="31">
        <v>95300</v>
      </c>
    </row>
    <row r="37" spans="2:3" x14ac:dyDescent="0.25">
      <c r="B37" s="27" t="s">
        <v>353</v>
      </c>
      <c r="C37" s="31">
        <v>54100</v>
      </c>
    </row>
    <row r="38" spans="2:3" x14ac:dyDescent="0.25">
      <c r="B38" s="27" t="s">
        <v>354</v>
      </c>
      <c r="C38" s="31">
        <v>54100</v>
      </c>
    </row>
    <row r="39" spans="2:3" x14ac:dyDescent="0.25">
      <c r="B39" s="27" t="s">
        <v>355</v>
      </c>
      <c r="C39" s="31">
        <v>308000</v>
      </c>
    </row>
    <row r="40" spans="2:3" x14ac:dyDescent="0.25">
      <c r="B40" s="27" t="s">
        <v>356</v>
      </c>
      <c r="C40" s="31">
        <v>202000</v>
      </c>
    </row>
    <row r="41" spans="2:3" x14ac:dyDescent="0.25">
      <c r="B41" s="27" t="s">
        <v>357</v>
      </c>
      <c r="C41" s="31">
        <v>58300</v>
      </c>
    </row>
    <row r="42" spans="2:3" ht="30" x14ac:dyDescent="0.25">
      <c r="B42" s="28" t="s">
        <v>358</v>
      </c>
      <c r="C42" s="31">
        <v>121000</v>
      </c>
    </row>
    <row r="43" spans="2:3" x14ac:dyDescent="0.25">
      <c r="B43" s="27" t="s">
        <v>359</v>
      </c>
      <c r="C43" s="31">
        <v>183000</v>
      </c>
    </row>
    <row r="44" spans="2:3" x14ac:dyDescent="0.25">
      <c r="B44" s="27" t="s">
        <v>360</v>
      </c>
      <c r="C44" s="31">
        <v>74400</v>
      </c>
    </row>
    <row r="45" spans="2:3" x14ac:dyDescent="0.25">
      <c r="B45" s="27" t="s">
        <v>361</v>
      </c>
      <c r="C45" s="31">
        <v>108000</v>
      </c>
    </row>
    <row r="46" spans="2:3" x14ac:dyDescent="0.25">
      <c r="B46" s="27" t="s">
        <v>362</v>
      </c>
      <c r="C46" s="31">
        <v>132000</v>
      </c>
    </row>
    <row r="47" spans="2:3" x14ac:dyDescent="0.25">
      <c r="B47" s="27" t="s">
        <v>363</v>
      </c>
      <c r="C47" s="31">
        <v>110000</v>
      </c>
    </row>
    <row r="48" spans="2:3" x14ac:dyDescent="0.25">
      <c r="B48" s="27" t="s">
        <v>364</v>
      </c>
      <c r="C48" s="31">
        <v>117000</v>
      </c>
    </row>
    <row r="49" spans="2:3" x14ac:dyDescent="0.25">
      <c r="B49" s="27" t="s">
        <v>365</v>
      </c>
      <c r="C49" s="31">
        <v>132000</v>
      </c>
    </row>
    <row r="50" spans="2:3" x14ac:dyDescent="0.25">
      <c r="B50" s="27" t="s">
        <v>366</v>
      </c>
      <c r="C50" s="31">
        <v>84300</v>
      </c>
    </row>
    <row r="51" spans="2:3" x14ac:dyDescent="0.25">
      <c r="B51" s="27" t="s">
        <v>367</v>
      </c>
      <c r="C51" s="31">
        <v>84300</v>
      </c>
    </row>
    <row r="52" spans="2:3" x14ac:dyDescent="0.25">
      <c r="B52" s="27" t="s">
        <v>368</v>
      </c>
      <c r="C52" s="31">
        <v>95300</v>
      </c>
    </row>
    <row r="53" spans="2:3" x14ac:dyDescent="0.25">
      <c r="B53" s="27" t="s">
        <v>369</v>
      </c>
      <c r="C53" s="31">
        <v>66000</v>
      </c>
    </row>
    <row r="54" spans="2:3" x14ac:dyDescent="0.25">
      <c r="B54" s="27" t="s">
        <v>370</v>
      </c>
      <c r="C54" s="31">
        <v>66000</v>
      </c>
    </row>
    <row r="55" spans="2:3" x14ac:dyDescent="0.25">
      <c r="B55" s="27" t="s">
        <v>371</v>
      </c>
      <c r="C55" s="31">
        <v>66000</v>
      </c>
    </row>
    <row r="56" spans="2:3" ht="15.75" thickBot="1" x14ac:dyDescent="0.3">
      <c r="B56" s="29" t="s">
        <v>372</v>
      </c>
      <c r="C56" s="32">
        <v>117000</v>
      </c>
    </row>
  </sheetData>
  <mergeCells count="1">
    <mergeCell ref="B2:C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CE16-D376-4F40-8D64-9580664811FB}">
  <dimension ref="A1:F69"/>
  <sheetViews>
    <sheetView workbookViewId="0">
      <selection activeCell="E74" sqref="E73:E74"/>
    </sheetView>
  </sheetViews>
  <sheetFormatPr defaultRowHeight="15" x14ac:dyDescent="0.25"/>
  <cols>
    <col min="1" max="1" width="18.140625" bestFit="1" customWidth="1"/>
    <col min="2" max="2" width="18.140625" customWidth="1"/>
    <col min="3" max="3" width="16.140625" bestFit="1" customWidth="1"/>
    <col min="4" max="4" width="44.42578125" customWidth="1"/>
    <col min="5" max="5" width="29.28515625" bestFit="1" customWidth="1"/>
    <col min="6" max="6" width="81" customWidth="1"/>
  </cols>
  <sheetData>
    <row r="1" spans="1:6" ht="18.75" x14ac:dyDescent="0.3">
      <c r="A1" s="1" t="s">
        <v>0</v>
      </c>
      <c r="B1" s="1" t="s">
        <v>1</v>
      </c>
      <c r="C1" s="1" t="s">
        <v>109</v>
      </c>
      <c r="D1" s="2" t="s">
        <v>2</v>
      </c>
      <c r="E1" s="2" t="s">
        <v>3</v>
      </c>
      <c r="F1" s="1" t="s">
        <v>4</v>
      </c>
    </row>
    <row r="2" spans="1:6" s="18" customFormat="1" ht="18.75" x14ac:dyDescent="0.3">
      <c r="A2" s="16"/>
      <c r="B2" s="16"/>
      <c r="C2" s="17"/>
      <c r="D2" s="16" t="s">
        <v>78</v>
      </c>
      <c r="E2" s="17"/>
      <c r="F2" s="17"/>
    </row>
    <row r="3" spans="1:6" ht="113.25" customHeight="1" x14ac:dyDescent="0.25">
      <c r="A3" t="s">
        <v>6</v>
      </c>
      <c r="B3" t="s">
        <v>209</v>
      </c>
      <c r="D3" s="8" t="s">
        <v>79</v>
      </c>
      <c r="E3" t="s">
        <v>9</v>
      </c>
      <c r="F3" s="8" t="s">
        <v>80</v>
      </c>
    </row>
    <row r="4" spans="1:6" s="18" customFormat="1" ht="18.75" x14ac:dyDescent="0.3">
      <c r="A4" s="16"/>
      <c r="B4" s="16"/>
      <c r="C4" s="17"/>
      <c r="D4" s="16" t="s">
        <v>81</v>
      </c>
      <c r="E4" s="17"/>
      <c r="F4" s="17"/>
    </row>
    <row r="5" spans="1:6" s="13" customFormat="1" x14ac:dyDescent="0.25">
      <c r="A5" s="13" t="s">
        <v>9</v>
      </c>
      <c r="B5" s="13" t="s">
        <v>451</v>
      </c>
      <c r="C5" s="25" t="s">
        <v>119</v>
      </c>
      <c r="D5" s="13" t="s">
        <v>82</v>
      </c>
      <c r="E5" s="14" t="s">
        <v>9</v>
      </c>
      <c r="F5" s="14">
        <v>16.04</v>
      </c>
    </row>
    <row r="6" spans="1:6" s="13" customFormat="1" x14ac:dyDescent="0.25">
      <c r="A6" s="13" t="s">
        <v>9</v>
      </c>
      <c r="B6" s="13" t="s">
        <v>451</v>
      </c>
      <c r="C6" s="13" t="s">
        <v>120</v>
      </c>
      <c r="D6" s="13" t="s">
        <v>83</v>
      </c>
      <c r="E6" s="14" t="s">
        <v>9</v>
      </c>
      <c r="F6" s="14">
        <v>28.01</v>
      </c>
    </row>
    <row r="7" spans="1:6" s="13" customFormat="1" x14ac:dyDescent="0.25">
      <c r="A7" s="13" t="s">
        <v>9</v>
      </c>
      <c r="B7" s="13" t="s">
        <v>451</v>
      </c>
      <c r="C7" s="13" t="s">
        <v>121</v>
      </c>
      <c r="D7" s="13" t="s">
        <v>84</v>
      </c>
      <c r="E7" s="14" t="s">
        <v>9</v>
      </c>
      <c r="F7" s="14">
        <v>44.01</v>
      </c>
    </row>
    <row r="8" spans="1:6" s="13" customFormat="1" x14ac:dyDescent="0.25">
      <c r="A8" s="13" t="s">
        <v>9</v>
      </c>
      <c r="B8" s="13" t="s">
        <v>451</v>
      </c>
      <c r="C8" s="13" t="s">
        <v>122</v>
      </c>
      <c r="D8" s="13" t="s">
        <v>85</v>
      </c>
      <c r="E8" s="14" t="s">
        <v>9</v>
      </c>
      <c r="F8" s="14">
        <v>32</v>
      </c>
    </row>
    <row r="9" spans="1:6" s="13" customFormat="1" x14ac:dyDescent="0.25">
      <c r="A9" s="13" t="s">
        <v>9</v>
      </c>
      <c r="B9" s="13" t="s">
        <v>451</v>
      </c>
      <c r="C9" s="13" t="s">
        <v>123</v>
      </c>
      <c r="D9" s="13" t="s">
        <v>86</v>
      </c>
      <c r="E9" s="14" t="s">
        <v>9</v>
      </c>
      <c r="F9" s="14">
        <v>2.02</v>
      </c>
    </row>
    <row r="10" spans="1:6" s="13" customFormat="1" x14ac:dyDescent="0.25">
      <c r="A10" s="13" t="s">
        <v>9</v>
      </c>
      <c r="B10" s="13" t="s">
        <v>451</v>
      </c>
      <c r="C10" s="13" t="s">
        <v>124</v>
      </c>
      <c r="D10" s="13" t="s">
        <v>87</v>
      </c>
      <c r="E10" s="14" t="s">
        <v>9</v>
      </c>
      <c r="F10" s="14">
        <v>28.02</v>
      </c>
    </row>
    <row r="11" spans="1:6" s="13" customFormat="1" x14ac:dyDescent="0.25">
      <c r="A11" s="13" t="s">
        <v>9</v>
      </c>
      <c r="B11" s="13" t="s">
        <v>451</v>
      </c>
      <c r="C11" s="13" t="s">
        <v>125</v>
      </c>
      <c r="D11" s="13" t="s">
        <v>88</v>
      </c>
      <c r="E11" s="14" t="s">
        <v>9</v>
      </c>
      <c r="F11" s="14">
        <v>12</v>
      </c>
    </row>
    <row r="12" spans="1:6" s="13" customFormat="1" x14ac:dyDescent="0.25">
      <c r="A12" s="13" t="s">
        <v>9</v>
      </c>
      <c r="B12" s="13" t="s">
        <v>451</v>
      </c>
      <c r="C12" s="13" t="s">
        <v>126</v>
      </c>
      <c r="D12" s="13" t="s">
        <v>89</v>
      </c>
      <c r="E12" s="14" t="s">
        <v>9</v>
      </c>
      <c r="F12" s="14">
        <v>1.01</v>
      </c>
    </row>
    <row r="13" spans="1:6" s="13" customFormat="1" x14ac:dyDescent="0.25">
      <c r="A13" s="13" t="s">
        <v>9</v>
      </c>
      <c r="B13" s="13" t="s">
        <v>451</v>
      </c>
      <c r="C13" s="13" t="s">
        <v>127</v>
      </c>
      <c r="D13" s="13" t="s">
        <v>90</v>
      </c>
      <c r="E13" s="14" t="s">
        <v>9</v>
      </c>
      <c r="F13" s="14">
        <v>16</v>
      </c>
    </row>
    <row r="14" spans="1:6" s="13" customFormat="1" x14ac:dyDescent="0.25">
      <c r="A14" s="13" t="s">
        <v>9</v>
      </c>
      <c r="B14" s="13" t="s">
        <v>451</v>
      </c>
      <c r="C14" s="13" t="s">
        <v>128</v>
      </c>
      <c r="D14" s="13" t="s">
        <v>91</v>
      </c>
      <c r="E14" s="14" t="s">
        <v>9</v>
      </c>
      <c r="F14" s="14">
        <v>14.01</v>
      </c>
    </row>
    <row r="15" spans="1:6" s="13" customFormat="1" x14ac:dyDescent="0.25">
      <c r="A15" s="13" t="s">
        <v>9</v>
      </c>
      <c r="B15" s="13" t="s">
        <v>451</v>
      </c>
      <c r="C15" s="13" t="s">
        <v>129</v>
      </c>
      <c r="D15" s="13" t="s">
        <v>92</v>
      </c>
      <c r="E15" s="14" t="s">
        <v>9</v>
      </c>
      <c r="F15" s="14">
        <v>101325</v>
      </c>
    </row>
    <row r="16" spans="1:6" s="13" customFormat="1" x14ac:dyDescent="0.25">
      <c r="A16" s="13" t="s">
        <v>9</v>
      </c>
      <c r="B16" s="13" t="s">
        <v>451</v>
      </c>
      <c r="C16" s="13" t="s">
        <v>130</v>
      </c>
      <c r="D16" s="13" t="s">
        <v>93</v>
      </c>
      <c r="E16" s="14" t="s">
        <v>9</v>
      </c>
      <c r="F16" s="14">
        <v>8314.4719999999998</v>
      </c>
    </row>
    <row r="17" spans="1:6" s="13" customFormat="1" x14ac:dyDescent="0.25">
      <c r="A17" s="13" t="s">
        <v>9</v>
      </c>
      <c r="B17" s="13" t="s">
        <v>451</v>
      </c>
      <c r="C17" s="13" t="s">
        <v>131</v>
      </c>
      <c r="D17" s="13" t="s">
        <v>94</v>
      </c>
      <c r="E17" s="14" t="s">
        <v>9</v>
      </c>
      <c r="F17" s="14">
        <v>273.14999999999998</v>
      </c>
    </row>
    <row r="18" spans="1:6" s="13" customFormat="1" x14ac:dyDescent="0.25">
      <c r="A18" s="13" t="s">
        <v>9</v>
      </c>
      <c r="B18" s="13" t="s">
        <v>451</v>
      </c>
      <c r="C18" s="13" t="s">
        <v>132</v>
      </c>
      <c r="D18" s="13" t="s">
        <v>95</v>
      </c>
      <c r="E18" s="14" t="s">
        <v>9</v>
      </c>
      <c r="F18" s="14">
        <v>0.21</v>
      </c>
    </row>
    <row r="19" spans="1:6" s="13" customFormat="1" x14ac:dyDescent="0.25">
      <c r="A19" s="13" t="s">
        <v>9</v>
      </c>
      <c r="B19" s="13" t="s">
        <v>451</v>
      </c>
      <c r="C19" s="13" t="s">
        <v>133</v>
      </c>
      <c r="D19" s="13" t="s">
        <v>96</v>
      </c>
      <c r="E19" s="14" t="s">
        <v>9</v>
      </c>
      <c r="F19" s="14">
        <v>25</v>
      </c>
    </row>
    <row r="20" spans="1:6" s="13" customFormat="1" ht="30" x14ac:dyDescent="0.25">
      <c r="A20" s="13" t="s">
        <v>9</v>
      </c>
      <c r="B20" s="13" t="s">
        <v>451</v>
      </c>
      <c r="C20" s="13" t="s">
        <v>134</v>
      </c>
      <c r="D20" s="12" t="s">
        <v>97</v>
      </c>
      <c r="E20" s="14" t="s">
        <v>9</v>
      </c>
      <c r="F20" s="14">
        <v>22.414000000000001</v>
      </c>
    </row>
    <row r="21" spans="1:6" s="13" customFormat="1" x14ac:dyDescent="0.25">
      <c r="A21" s="13" t="s">
        <v>9</v>
      </c>
      <c r="B21" s="13" t="s">
        <v>451</v>
      </c>
      <c r="C21" s="13" t="s">
        <v>135</v>
      </c>
      <c r="D21" s="13" t="s">
        <v>98</v>
      </c>
      <c r="E21" s="14" t="s">
        <v>9</v>
      </c>
      <c r="F21" s="14">
        <v>0.71599999999999997</v>
      </c>
    </row>
    <row r="22" spans="1:6" s="13" customFormat="1" ht="30" x14ac:dyDescent="0.25">
      <c r="A22" s="13" t="s">
        <v>9</v>
      </c>
      <c r="B22" s="13" t="s">
        <v>451</v>
      </c>
      <c r="C22" s="13" t="s">
        <v>136</v>
      </c>
      <c r="D22" s="12" t="s">
        <v>99</v>
      </c>
      <c r="E22" s="14" t="s">
        <v>9</v>
      </c>
      <c r="F22" s="14" t="s">
        <v>137</v>
      </c>
    </row>
    <row r="23" spans="1:6" s="13" customFormat="1" ht="30" x14ac:dyDescent="0.25">
      <c r="A23" s="13" t="s">
        <v>9</v>
      </c>
      <c r="B23" s="13" t="s">
        <v>451</v>
      </c>
      <c r="C23" s="13" t="s">
        <v>110</v>
      </c>
      <c r="D23" s="12" t="s">
        <v>100</v>
      </c>
      <c r="E23" s="14" t="s">
        <v>9</v>
      </c>
      <c r="F23" s="14">
        <v>1</v>
      </c>
    </row>
    <row r="24" spans="1:6" s="13" customFormat="1" x14ac:dyDescent="0.25">
      <c r="A24" s="13" t="s">
        <v>9</v>
      </c>
      <c r="B24" s="13" t="s">
        <v>451</v>
      </c>
      <c r="C24" s="13" t="s">
        <v>111</v>
      </c>
      <c r="D24" s="13" t="s">
        <v>101</v>
      </c>
      <c r="E24" s="14" t="s">
        <v>9</v>
      </c>
      <c r="F24" s="14">
        <v>1</v>
      </c>
    </row>
    <row r="25" spans="1:6" s="13" customFormat="1" ht="30" x14ac:dyDescent="0.25">
      <c r="A25" s="13" t="s">
        <v>9</v>
      </c>
      <c r="B25" s="13" t="s">
        <v>451</v>
      </c>
      <c r="C25" s="13" t="s">
        <v>112</v>
      </c>
      <c r="D25" s="12" t="s">
        <v>102</v>
      </c>
      <c r="E25" s="14" t="s">
        <v>9</v>
      </c>
      <c r="F25" s="14">
        <v>1</v>
      </c>
    </row>
    <row r="26" spans="1:6" s="13" customFormat="1" ht="30" x14ac:dyDescent="0.25">
      <c r="A26" s="13" t="s">
        <v>9</v>
      </c>
      <c r="B26" s="13" t="s">
        <v>451</v>
      </c>
      <c r="C26" s="13" t="s">
        <v>113</v>
      </c>
      <c r="D26" s="12" t="s">
        <v>103</v>
      </c>
      <c r="E26" s="14" t="s">
        <v>9</v>
      </c>
      <c r="F26" s="14">
        <v>4</v>
      </c>
    </row>
    <row r="27" spans="1:6" s="13" customFormat="1" x14ac:dyDescent="0.25">
      <c r="A27" s="13" t="s">
        <v>9</v>
      </c>
      <c r="B27" s="13" t="s">
        <v>451</v>
      </c>
      <c r="C27" s="13" t="s">
        <v>114</v>
      </c>
      <c r="D27" s="13" t="s">
        <v>104</v>
      </c>
      <c r="E27" s="14" t="s">
        <v>9</v>
      </c>
      <c r="F27" s="14">
        <v>2</v>
      </c>
    </row>
    <row r="28" spans="1:6" s="13" customFormat="1" x14ac:dyDescent="0.25">
      <c r="A28" s="13" t="s">
        <v>9</v>
      </c>
      <c r="B28" s="13" t="s">
        <v>451</v>
      </c>
      <c r="C28" s="13" t="s">
        <v>115</v>
      </c>
      <c r="D28" s="13" t="s">
        <v>105</v>
      </c>
      <c r="E28" s="14" t="s">
        <v>9</v>
      </c>
      <c r="F28" s="14">
        <v>1</v>
      </c>
    </row>
    <row r="29" spans="1:6" s="13" customFormat="1" ht="30" x14ac:dyDescent="0.25">
      <c r="A29" s="13" t="s">
        <v>9</v>
      </c>
      <c r="B29" s="13" t="s">
        <v>451</v>
      </c>
      <c r="C29" s="13" t="s">
        <v>116</v>
      </c>
      <c r="D29" s="12" t="s">
        <v>106</v>
      </c>
      <c r="E29" s="14" t="s">
        <v>9</v>
      </c>
      <c r="F29" s="14">
        <v>2</v>
      </c>
    </row>
    <row r="30" spans="1:6" s="13" customFormat="1" x14ac:dyDescent="0.25">
      <c r="A30" s="13" t="s">
        <v>9</v>
      </c>
      <c r="B30" s="13" t="s">
        <v>451</v>
      </c>
      <c r="C30" s="13" t="s">
        <v>117</v>
      </c>
      <c r="D30" s="13" t="s">
        <v>107</v>
      </c>
      <c r="E30" s="14" t="s">
        <v>9</v>
      </c>
      <c r="F30" s="14">
        <v>2</v>
      </c>
    </row>
    <row r="31" spans="1:6" s="13" customFormat="1" x14ac:dyDescent="0.25">
      <c r="A31" s="13" t="s">
        <v>9</v>
      </c>
      <c r="B31" s="13" t="s">
        <v>451</v>
      </c>
      <c r="C31" s="13" t="s">
        <v>118</v>
      </c>
      <c r="D31" s="13" t="s">
        <v>108</v>
      </c>
      <c r="E31" s="14" t="s">
        <v>9</v>
      </c>
      <c r="F31" s="14">
        <v>2</v>
      </c>
    </row>
    <row r="32" spans="1:6" s="18" customFormat="1" ht="18.75" x14ac:dyDescent="0.3">
      <c r="A32" s="16"/>
      <c r="B32" s="16"/>
      <c r="C32" s="17"/>
      <c r="D32" s="16" t="s">
        <v>138</v>
      </c>
      <c r="E32" s="17"/>
      <c r="F32" s="17"/>
    </row>
    <row r="33" spans="1:6" x14ac:dyDescent="0.25">
      <c r="A33" s="52" t="s">
        <v>6</v>
      </c>
      <c r="B33" s="52" t="s">
        <v>383</v>
      </c>
      <c r="C33" t="s">
        <v>157</v>
      </c>
      <c r="D33" t="s">
        <v>139</v>
      </c>
      <c r="E33" s="53" t="s">
        <v>6</v>
      </c>
      <c r="F33" s="19">
        <v>0.55000000000000004</v>
      </c>
    </row>
    <row r="34" spans="1:6" x14ac:dyDescent="0.25">
      <c r="A34" s="52" t="s">
        <v>6</v>
      </c>
      <c r="B34" s="52" t="s">
        <v>383</v>
      </c>
      <c r="C34" t="s">
        <v>158</v>
      </c>
      <c r="D34" t="s">
        <v>140</v>
      </c>
      <c r="E34" s="53" t="s">
        <v>6</v>
      </c>
      <c r="F34" s="19">
        <v>0</v>
      </c>
    </row>
    <row r="35" spans="1:6" x14ac:dyDescent="0.25">
      <c r="A35" s="52" t="s">
        <v>6</v>
      </c>
      <c r="B35" s="52" t="s">
        <v>383</v>
      </c>
      <c r="C35" t="s">
        <v>159</v>
      </c>
      <c r="D35" t="s">
        <v>141</v>
      </c>
      <c r="E35" s="53" t="s">
        <v>6</v>
      </c>
      <c r="F35" s="19">
        <v>0.35</v>
      </c>
    </row>
    <row r="36" spans="1:6" x14ac:dyDescent="0.25">
      <c r="A36" s="52" t="s">
        <v>6</v>
      </c>
      <c r="B36" s="52" t="s">
        <v>383</v>
      </c>
      <c r="C36" t="s">
        <v>160</v>
      </c>
      <c r="D36" t="s">
        <v>142</v>
      </c>
      <c r="E36" s="53" t="s">
        <v>6</v>
      </c>
      <c r="F36" s="19">
        <v>0.05</v>
      </c>
    </row>
    <row r="37" spans="1:6" x14ac:dyDescent="0.25">
      <c r="A37" s="52" t="s">
        <v>6</v>
      </c>
      <c r="B37" s="52" t="s">
        <v>383</v>
      </c>
      <c r="C37" t="s">
        <v>161</v>
      </c>
      <c r="D37" t="s">
        <v>143</v>
      </c>
      <c r="E37" s="53" t="s">
        <v>6</v>
      </c>
      <c r="F37" s="19">
        <v>0.01</v>
      </c>
    </row>
    <row r="38" spans="1:6" x14ac:dyDescent="0.25">
      <c r="A38" s="52" t="s">
        <v>6</v>
      </c>
      <c r="B38" s="52" t="s">
        <v>383</v>
      </c>
      <c r="C38" t="s">
        <v>162</v>
      </c>
      <c r="D38" t="s">
        <v>144</v>
      </c>
      <c r="E38" s="53" t="s">
        <v>6</v>
      </c>
      <c r="F38" s="19">
        <v>0.04</v>
      </c>
    </row>
    <row r="39" spans="1:6" ht="30" x14ac:dyDescent="0.25">
      <c r="A39" s="52" t="s">
        <v>6</v>
      </c>
      <c r="B39" s="52" t="s">
        <v>383</v>
      </c>
      <c r="C39" t="s">
        <v>149</v>
      </c>
      <c r="D39" s="8" t="s">
        <v>145</v>
      </c>
      <c r="E39" s="53" t="s">
        <v>6</v>
      </c>
      <c r="F39" s="20">
        <v>1000</v>
      </c>
    </row>
    <row r="40" spans="1:6" x14ac:dyDescent="0.25">
      <c r="A40" s="52" t="s">
        <v>6</v>
      </c>
      <c r="B40" s="52" t="s">
        <v>383</v>
      </c>
      <c r="C40" t="s">
        <v>150</v>
      </c>
      <c r="D40" t="s">
        <v>146</v>
      </c>
      <c r="E40" s="53" t="s">
        <v>6</v>
      </c>
      <c r="F40" s="19">
        <v>0.1</v>
      </c>
    </row>
    <row r="41" spans="1:6" ht="30" x14ac:dyDescent="0.25">
      <c r="A41" s="52" t="s">
        <v>6</v>
      </c>
      <c r="B41" s="52" t="s">
        <v>383</v>
      </c>
      <c r="C41" t="s">
        <v>151</v>
      </c>
      <c r="D41" s="8" t="s">
        <v>147</v>
      </c>
      <c r="E41" s="53" t="s">
        <v>6</v>
      </c>
      <c r="F41" s="11">
        <v>1000</v>
      </c>
    </row>
    <row r="42" spans="1:6" x14ac:dyDescent="0.25">
      <c r="A42" s="52" t="s">
        <v>6</v>
      </c>
      <c r="B42" s="52" t="s">
        <v>383</v>
      </c>
      <c r="C42" t="s">
        <v>152</v>
      </c>
      <c r="D42" t="s">
        <v>148</v>
      </c>
      <c r="E42" s="53" t="s">
        <v>6</v>
      </c>
      <c r="F42" s="21">
        <v>8760</v>
      </c>
    </row>
    <row r="43" spans="1:6" s="18" customFormat="1" ht="18.75" x14ac:dyDescent="0.3">
      <c r="A43" s="16"/>
      <c r="B43" s="16"/>
      <c r="C43" s="17"/>
      <c r="D43" s="16" t="s">
        <v>153</v>
      </c>
      <c r="E43" s="17"/>
      <c r="F43" s="17"/>
    </row>
    <row r="44" spans="1:6" s="13" customFormat="1" ht="30" x14ac:dyDescent="0.25">
      <c r="A44" s="13" t="s">
        <v>9</v>
      </c>
      <c r="B44" s="13" t="s">
        <v>451</v>
      </c>
      <c r="C44" s="13" t="s">
        <v>154</v>
      </c>
      <c r="D44" s="12" t="s">
        <v>165</v>
      </c>
      <c r="E44" s="13" t="s">
        <v>9</v>
      </c>
      <c r="F44" s="14">
        <f>F45*F46</f>
        <v>1203.109940767265</v>
      </c>
    </row>
    <row r="45" spans="1:6" s="13" customFormat="1" ht="30" x14ac:dyDescent="0.25">
      <c r="A45" s="13" t="s">
        <v>9</v>
      </c>
      <c r="B45" s="13" t="s">
        <v>451</v>
      </c>
      <c r="C45" s="13" t="s">
        <v>155</v>
      </c>
      <c r="D45" s="12" t="s">
        <v>166</v>
      </c>
      <c r="E45" s="13" t="s">
        <v>9</v>
      </c>
      <c r="F45" s="14">
        <f>F47/(F16*F17)</f>
        <v>1.203109940767265</v>
      </c>
    </row>
    <row r="46" spans="1:6" s="13" customFormat="1" ht="33" customHeight="1" x14ac:dyDescent="0.25">
      <c r="A46" s="13" t="s">
        <v>9</v>
      </c>
      <c r="B46" s="13" t="s">
        <v>451</v>
      </c>
      <c r="C46" s="13" t="s">
        <v>156</v>
      </c>
      <c r="D46" s="12" t="s">
        <v>167</v>
      </c>
      <c r="E46" s="13" t="s">
        <v>9</v>
      </c>
      <c r="F46" s="14">
        <v>1000</v>
      </c>
    </row>
    <row r="47" spans="1:6" s="13" customFormat="1" ht="30" x14ac:dyDescent="0.25">
      <c r="A47" s="13" t="s">
        <v>9</v>
      </c>
      <c r="B47" s="13" t="s">
        <v>451</v>
      </c>
      <c r="C47" s="13" t="s">
        <v>163</v>
      </c>
      <c r="D47" s="12" t="s">
        <v>168</v>
      </c>
      <c r="E47" s="13" t="s">
        <v>9</v>
      </c>
      <c r="F47" s="14">
        <f>F15*F48</f>
        <v>2732380.6124999998</v>
      </c>
    </row>
    <row r="48" spans="1:6" s="13" customFormat="1" ht="30" x14ac:dyDescent="0.25">
      <c r="A48" s="13" t="s">
        <v>9</v>
      </c>
      <c r="B48" s="13" t="s">
        <v>451</v>
      </c>
      <c r="C48" s="13" t="s">
        <v>164</v>
      </c>
      <c r="D48" s="12" t="s">
        <v>169</v>
      </c>
      <c r="E48" s="13" t="s">
        <v>9</v>
      </c>
      <c r="F48" s="14">
        <f>F5*F33+F6*F34+F7*F35+F8*F36+F9*F37+F10*F38</f>
        <v>26.966499999999996</v>
      </c>
    </row>
    <row r="49" spans="1:6" s="18" customFormat="1" ht="18.75" x14ac:dyDescent="0.3">
      <c r="A49" s="16"/>
      <c r="B49" s="16"/>
      <c r="C49" s="17"/>
      <c r="D49" s="16" t="s">
        <v>170</v>
      </c>
      <c r="E49" s="17"/>
      <c r="F49" s="17"/>
    </row>
    <row r="50" spans="1:6" s="14" customFormat="1" ht="30" x14ac:dyDescent="0.25">
      <c r="A50" s="14" t="s">
        <v>9</v>
      </c>
      <c r="B50" s="14" t="s">
        <v>451</v>
      </c>
      <c r="C50" s="14" t="s">
        <v>171</v>
      </c>
      <c r="D50" s="22" t="s">
        <v>172</v>
      </c>
      <c r="E50" s="14" t="s">
        <v>9</v>
      </c>
      <c r="F50" s="14">
        <f>F39*F33*F21</f>
        <v>393.8</v>
      </c>
    </row>
    <row r="51" spans="1:6" s="18" customFormat="1" ht="18.75" x14ac:dyDescent="0.3">
      <c r="A51" s="16"/>
      <c r="B51" s="16"/>
      <c r="C51" s="17"/>
      <c r="D51" s="16" t="s">
        <v>173</v>
      </c>
      <c r="E51" s="17"/>
      <c r="F51" s="17"/>
    </row>
    <row r="52" spans="1:6" s="13" customFormat="1" x14ac:dyDescent="0.25">
      <c r="A52" s="13" t="s">
        <v>9</v>
      </c>
      <c r="B52" s="13" t="s">
        <v>451</v>
      </c>
      <c r="C52" s="13" t="s">
        <v>174</v>
      </c>
      <c r="D52" s="13" t="s">
        <v>191</v>
      </c>
      <c r="E52" s="13" t="s">
        <v>9</v>
      </c>
      <c r="F52" s="14">
        <f>(1-(F54/F50))*100</f>
        <v>97.620272779259992</v>
      </c>
    </row>
    <row r="53" spans="1:6" s="18" customFormat="1" ht="18.75" x14ac:dyDescent="0.3">
      <c r="A53" s="16"/>
      <c r="B53" s="16"/>
      <c r="C53" s="17"/>
      <c r="D53" s="16" t="s">
        <v>175</v>
      </c>
      <c r="E53" s="17"/>
      <c r="F53" s="17"/>
    </row>
    <row r="54" spans="1:6" s="13" customFormat="1" ht="45" x14ac:dyDescent="0.25">
      <c r="A54" s="13" t="s">
        <v>9</v>
      </c>
      <c r="B54" s="13" t="s">
        <v>451</v>
      </c>
      <c r="C54" s="13" t="s">
        <v>176</v>
      </c>
      <c r="D54" s="24" t="s">
        <v>177</v>
      </c>
      <c r="E54" s="13" t="s">
        <v>9</v>
      </c>
      <c r="F54" s="14">
        <f>F56*F41/1000000</f>
        <v>9.3713657952741762</v>
      </c>
    </row>
    <row r="55" spans="1:6" s="18" customFormat="1" ht="18.75" x14ac:dyDescent="0.3">
      <c r="A55" s="16"/>
      <c r="B55" s="16"/>
      <c r="C55" s="17"/>
      <c r="D55" s="16" t="s">
        <v>178</v>
      </c>
      <c r="E55" s="17"/>
      <c r="F55" s="17"/>
    </row>
    <row r="56" spans="1:6" s="13" customFormat="1" ht="34.5" customHeight="1" x14ac:dyDescent="0.25">
      <c r="A56" s="13" t="s">
        <v>9</v>
      </c>
      <c r="B56" s="13" t="s">
        <v>451</v>
      </c>
      <c r="C56" s="13" t="s">
        <v>179</v>
      </c>
      <c r="D56" s="12" t="s">
        <v>194</v>
      </c>
      <c r="E56" s="13" t="s">
        <v>9</v>
      </c>
      <c r="F56" s="14">
        <f>F57*F44</f>
        <v>9371.365795274176</v>
      </c>
    </row>
    <row r="57" spans="1:6" s="13" customFormat="1" ht="47.25" customHeight="1" x14ac:dyDescent="0.25">
      <c r="A57" s="13" t="s">
        <v>9</v>
      </c>
      <c r="B57" s="13" t="s">
        <v>451</v>
      </c>
      <c r="C57" s="23" t="s">
        <v>180</v>
      </c>
      <c r="D57" s="12" t="s">
        <v>195</v>
      </c>
      <c r="E57" s="13" t="s">
        <v>9</v>
      </c>
      <c r="F57" s="14">
        <f>F60+F59+F58</f>
        <v>7.7892846511580895</v>
      </c>
    </row>
    <row r="58" spans="1:6" s="13" customFormat="1" ht="45" x14ac:dyDescent="0.25">
      <c r="A58" s="13" t="s">
        <v>9</v>
      </c>
      <c r="B58" s="13" t="s">
        <v>451</v>
      </c>
      <c r="C58" s="13" t="s">
        <v>181</v>
      </c>
      <c r="D58" s="12" t="s">
        <v>196</v>
      </c>
      <c r="E58" s="13" t="s">
        <v>9</v>
      </c>
      <c r="F58" s="14">
        <f>F61*F20</f>
        <v>0.77892846511580904</v>
      </c>
    </row>
    <row r="59" spans="1:6" s="13" customFormat="1" ht="46.5" customHeight="1" x14ac:dyDescent="0.25">
      <c r="A59" s="13" t="s">
        <v>9</v>
      </c>
      <c r="B59" s="13" t="s">
        <v>451</v>
      </c>
      <c r="C59" s="13" t="s">
        <v>182</v>
      </c>
      <c r="D59" s="12" t="s">
        <v>197</v>
      </c>
      <c r="E59" s="13" t="s">
        <v>9</v>
      </c>
      <c r="F59" s="14">
        <f>F20*((F67/(2*F14)+((1-F18)/F18)*(F62+F61)))</f>
        <v>6.2622947023495508</v>
      </c>
    </row>
    <row r="60" spans="1:6" s="13" customFormat="1" ht="47.25" customHeight="1" x14ac:dyDescent="0.25">
      <c r="A60" s="13" t="s">
        <v>9</v>
      </c>
      <c r="B60" s="13" t="s">
        <v>451</v>
      </c>
      <c r="C60" s="13" t="s">
        <v>183</v>
      </c>
      <c r="D60" s="12" t="s">
        <v>198</v>
      </c>
      <c r="E60" s="13" t="s">
        <v>9</v>
      </c>
      <c r="F60" s="14">
        <f>(F64/F11)*F20</f>
        <v>0.74806148369272996</v>
      </c>
    </row>
    <row r="61" spans="1:6" s="13" customFormat="1" ht="45" x14ac:dyDescent="0.25">
      <c r="A61" s="13" t="s">
        <v>9</v>
      </c>
      <c r="B61" s="13" t="s">
        <v>451</v>
      </c>
      <c r="C61" s="13" t="s">
        <v>184</v>
      </c>
      <c r="D61" s="12" t="s">
        <v>199</v>
      </c>
      <c r="E61" s="13" t="s">
        <v>9</v>
      </c>
      <c r="F61" s="14">
        <f>(F40/(1-(F40/F18))*(F64/F11+F67/(2*F14)+((1-F18)/F18)*F62))</f>
        <v>3.4751872272499734E-2</v>
      </c>
    </row>
    <row r="62" spans="1:6" s="13" customFormat="1" ht="45" x14ac:dyDescent="0.25">
      <c r="A62" s="13" t="s">
        <v>9</v>
      </c>
      <c r="B62" s="13" t="s">
        <v>451</v>
      </c>
      <c r="C62" s="13" t="s">
        <v>185</v>
      </c>
      <c r="D62" s="12" t="s">
        <v>200</v>
      </c>
      <c r="E62" s="13" t="s">
        <v>9</v>
      </c>
      <c r="F62" s="14">
        <f>((F64/F11)+(F65/(4*F12)-(F66)/(2*F13)))</f>
        <v>3.9122615096508641E-2</v>
      </c>
    </row>
    <row r="63" spans="1:6" s="18" customFormat="1" ht="18.75" x14ac:dyDescent="0.3">
      <c r="A63" s="16"/>
      <c r="B63" s="16"/>
      <c r="D63" s="16" t="s">
        <v>186</v>
      </c>
      <c r="E63" s="17"/>
      <c r="F63" s="17"/>
    </row>
    <row r="64" spans="1:6" s="13" customFormat="1" ht="30" x14ac:dyDescent="0.25">
      <c r="A64" s="13" t="s">
        <v>9</v>
      </c>
      <c r="B64" s="13" t="s">
        <v>451</v>
      </c>
      <c r="C64" s="23" t="s">
        <v>187</v>
      </c>
      <c r="D64" s="12" t="s">
        <v>202</v>
      </c>
      <c r="E64" s="13" t="s">
        <v>9</v>
      </c>
      <c r="F64" s="14">
        <f>((F33*F23+F34*F24+F35*F25)*F11)/F48</f>
        <v>0.40049691283629696</v>
      </c>
    </row>
    <row r="65" spans="1:6" s="13" customFormat="1" ht="30" x14ac:dyDescent="0.25">
      <c r="A65" s="13" t="s">
        <v>9</v>
      </c>
      <c r="B65" s="13" t="s">
        <v>451</v>
      </c>
      <c r="C65" s="13" t="s">
        <v>188</v>
      </c>
      <c r="D65" s="12" t="s">
        <v>201</v>
      </c>
      <c r="E65" s="13" t="s">
        <v>9</v>
      </c>
      <c r="F65" s="14">
        <f>(F33*F26+F37*F27)*F12/F48</f>
        <v>8.314760907051344E-2</v>
      </c>
    </row>
    <row r="66" spans="1:6" s="13" customFormat="1" ht="30" x14ac:dyDescent="0.25">
      <c r="A66" s="13" t="s">
        <v>9</v>
      </c>
      <c r="B66" s="13" t="s">
        <v>451</v>
      </c>
      <c r="C66" s="13" t="s">
        <v>189</v>
      </c>
      <c r="D66" s="12" t="s">
        <v>203</v>
      </c>
      <c r="E66" s="13" t="s">
        <v>9</v>
      </c>
      <c r="F66" s="14">
        <f>(F34*F28+F35*F29+F36*F30)*F13/F48</f>
        <v>0.47466300780598153</v>
      </c>
    </row>
    <row r="67" spans="1:6" s="13" customFormat="1" ht="30" x14ac:dyDescent="0.25">
      <c r="A67" s="13" t="s">
        <v>9</v>
      </c>
      <c r="B67" s="13" t="s">
        <v>451</v>
      </c>
      <c r="C67" s="13" t="s">
        <v>190</v>
      </c>
      <c r="D67" s="12" t="s">
        <v>204</v>
      </c>
      <c r="E67" s="13" t="s">
        <v>9</v>
      </c>
      <c r="F67" s="14">
        <f>F38*F31*F14/F48</f>
        <v>4.1562679621011261E-2</v>
      </c>
    </row>
    <row r="68" spans="1:6" s="18" customFormat="1" ht="18.75" x14ac:dyDescent="0.3">
      <c r="A68" s="16"/>
      <c r="B68" s="16"/>
      <c r="D68" s="16" t="s">
        <v>192</v>
      </c>
      <c r="E68" s="17"/>
      <c r="F68" s="17"/>
    </row>
    <row r="69" spans="1:6" s="13" customFormat="1" ht="30" x14ac:dyDescent="0.25">
      <c r="A69" s="13" t="s">
        <v>9</v>
      </c>
      <c r="B69" s="13" t="s">
        <v>451</v>
      </c>
      <c r="C69" s="13" t="s">
        <v>193</v>
      </c>
      <c r="D69" s="12" t="s">
        <v>205</v>
      </c>
      <c r="E69" s="13" t="s">
        <v>9</v>
      </c>
      <c r="F69" s="14">
        <f>(F42*(1-F52/100)*F50)*F19/100</f>
        <v>20523.291091650441</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DAEA3-CC83-4701-B8A7-9A0B60F600BF}">
  <dimension ref="A1:F82"/>
  <sheetViews>
    <sheetView workbookViewId="0">
      <selection activeCell="A2" sqref="A2:XFD2"/>
    </sheetView>
  </sheetViews>
  <sheetFormatPr defaultRowHeight="15" x14ac:dyDescent="0.25"/>
  <cols>
    <col min="1" max="1" width="18.140625" bestFit="1" customWidth="1"/>
    <col min="2" max="2" width="16.140625" bestFit="1" customWidth="1"/>
    <col min="3" max="3" width="16.140625" customWidth="1"/>
    <col min="4" max="4" width="34" customWidth="1"/>
    <col min="5" max="5" width="29.28515625" bestFit="1" customWidth="1"/>
    <col min="6" max="6" width="83" customWidth="1"/>
  </cols>
  <sheetData>
    <row r="1" spans="1:6" ht="18.75" x14ac:dyDescent="0.3">
      <c r="A1" s="1" t="s">
        <v>0</v>
      </c>
      <c r="B1" s="1" t="s">
        <v>1</v>
      </c>
      <c r="C1" s="1" t="s">
        <v>109</v>
      </c>
      <c r="D1" s="2" t="s">
        <v>2</v>
      </c>
      <c r="E1" s="2" t="s">
        <v>3</v>
      </c>
      <c r="F1" s="1" t="s">
        <v>4</v>
      </c>
    </row>
    <row r="2" spans="1:6" s="18" customFormat="1" ht="18.75" x14ac:dyDescent="0.3">
      <c r="A2" s="16"/>
      <c r="B2" s="17"/>
      <c r="C2" s="17"/>
      <c r="D2" s="16" t="s">
        <v>53</v>
      </c>
      <c r="E2" s="17"/>
      <c r="F2" s="17"/>
    </row>
    <row r="3" spans="1:6" s="41" customFormat="1" ht="30.75" x14ac:dyDescent="0.3">
      <c r="A3" s="43" t="s">
        <v>6</v>
      </c>
      <c r="B3" s="43" t="s">
        <v>209</v>
      </c>
      <c r="C3" s="44"/>
      <c r="D3" s="45" t="s">
        <v>52</v>
      </c>
      <c r="E3" s="58" t="s">
        <v>9</v>
      </c>
      <c r="F3" s="46" t="s">
        <v>206</v>
      </c>
    </row>
    <row r="4" spans="1:6" s="41" customFormat="1" ht="60.75" x14ac:dyDescent="0.3">
      <c r="A4" s="43" t="s">
        <v>6</v>
      </c>
      <c r="B4" s="43" t="s">
        <v>209</v>
      </c>
      <c r="C4" s="44"/>
      <c r="D4" s="45" t="s">
        <v>63</v>
      </c>
      <c r="E4" s="58" t="s">
        <v>9</v>
      </c>
      <c r="F4" s="46" t="s">
        <v>618</v>
      </c>
    </row>
    <row r="5" spans="1:6" s="18" customFormat="1" ht="18.75" x14ac:dyDescent="0.3">
      <c r="A5" s="16"/>
      <c r="B5" s="17"/>
      <c r="C5" s="17"/>
      <c r="D5" s="16" t="s">
        <v>54</v>
      </c>
      <c r="E5" s="17"/>
      <c r="F5" s="17"/>
    </row>
    <row r="6" spans="1:6" s="41" customFormat="1" ht="60.75" x14ac:dyDescent="0.3">
      <c r="A6" s="43" t="s">
        <v>6</v>
      </c>
      <c r="B6" s="43" t="s">
        <v>209</v>
      </c>
      <c r="C6" s="44"/>
      <c r="D6" s="45" t="s">
        <v>61</v>
      </c>
      <c r="E6" s="58" t="s">
        <v>9</v>
      </c>
      <c r="F6" s="46" t="s">
        <v>207</v>
      </c>
    </row>
    <row r="7" spans="1:6" s="41" customFormat="1" ht="60.75" x14ac:dyDescent="0.3">
      <c r="A7" s="43" t="s">
        <v>6</v>
      </c>
      <c r="B7" s="43" t="s">
        <v>209</v>
      </c>
      <c r="C7" s="44"/>
      <c r="D7" s="45" t="s">
        <v>62</v>
      </c>
      <c r="E7" s="58" t="s">
        <v>9</v>
      </c>
      <c r="F7" s="46" t="s">
        <v>208</v>
      </c>
    </row>
    <row r="8" spans="1:6" s="41" customFormat="1" ht="75.75" x14ac:dyDescent="0.3">
      <c r="A8" s="43" t="s">
        <v>6</v>
      </c>
      <c r="B8" s="43" t="s">
        <v>209</v>
      </c>
      <c r="C8" s="44"/>
      <c r="D8" s="45" t="s">
        <v>55</v>
      </c>
      <c r="E8" s="58" t="s">
        <v>9</v>
      </c>
      <c r="F8" s="46" t="s">
        <v>619</v>
      </c>
    </row>
    <row r="9" spans="1:6" s="18" customFormat="1" ht="18.75" x14ac:dyDescent="0.3">
      <c r="A9" s="16"/>
      <c r="B9" s="17"/>
      <c r="C9" s="17"/>
      <c r="D9" s="16" t="s">
        <v>71</v>
      </c>
      <c r="E9" s="17"/>
      <c r="F9" s="17"/>
    </row>
    <row r="10" spans="1:6" s="41" customFormat="1" ht="60.75" x14ac:dyDescent="0.3">
      <c r="A10" s="43" t="s">
        <v>6</v>
      </c>
      <c r="B10" s="43" t="s">
        <v>209</v>
      </c>
      <c r="C10" s="44"/>
      <c r="D10" s="45" t="s">
        <v>72</v>
      </c>
      <c r="E10" s="58" t="s">
        <v>9</v>
      </c>
      <c r="F10" s="46" t="s">
        <v>622</v>
      </c>
    </row>
    <row r="11" spans="1:6" s="41" customFormat="1" ht="60.75" x14ac:dyDescent="0.3">
      <c r="A11" s="43" t="s">
        <v>6</v>
      </c>
      <c r="B11" s="43" t="s">
        <v>209</v>
      </c>
      <c r="C11" s="44"/>
      <c r="D11" s="45" t="s">
        <v>73</v>
      </c>
      <c r="E11" s="58" t="s">
        <v>9</v>
      </c>
      <c r="F11" s="46" t="s">
        <v>620</v>
      </c>
    </row>
    <row r="12" spans="1:6" s="18" customFormat="1" ht="18.75" x14ac:dyDescent="0.3">
      <c r="A12" s="16"/>
      <c r="B12" s="17"/>
      <c r="C12" s="17"/>
      <c r="D12" s="16" t="s">
        <v>46</v>
      </c>
      <c r="E12" s="17"/>
      <c r="F12" s="17"/>
    </row>
    <row r="13" spans="1:6" s="13" customFormat="1" ht="45" x14ac:dyDescent="0.25">
      <c r="A13" s="13" t="s">
        <v>9</v>
      </c>
      <c r="B13" s="13" t="s">
        <v>210</v>
      </c>
      <c r="C13" s="13" t="s">
        <v>423</v>
      </c>
      <c r="D13" s="12" t="s">
        <v>47</v>
      </c>
      <c r="E13" s="12" t="s">
        <v>9</v>
      </c>
    </row>
    <row r="14" spans="1:6" s="13" customFormat="1" ht="45" x14ac:dyDescent="0.25">
      <c r="A14" s="13" t="s">
        <v>9</v>
      </c>
      <c r="B14" s="13" t="s">
        <v>210</v>
      </c>
      <c r="C14" s="13" t="s">
        <v>260</v>
      </c>
      <c r="D14" s="12" t="s">
        <v>48</v>
      </c>
      <c r="E14" s="12" t="s">
        <v>9</v>
      </c>
      <c r="F14" s="14" t="e">
        <f>F54</f>
        <v>#VALUE!</v>
      </c>
    </row>
    <row r="15" spans="1:6" s="13" customFormat="1" ht="45" x14ac:dyDescent="0.25">
      <c r="A15" s="13" t="s">
        <v>9</v>
      </c>
      <c r="B15" s="13" t="s">
        <v>210</v>
      </c>
      <c r="C15" s="13" t="s">
        <v>424</v>
      </c>
      <c r="D15" s="12" t="s">
        <v>49</v>
      </c>
      <c r="E15" s="12" t="s">
        <v>9</v>
      </c>
      <c r="F15" s="14" t="e">
        <f>'Tool 03'!F3</f>
        <v>#VALUE!</v>
      </c>
    </row>
    <row r="16" spans="1:6" s="13" customFormat="1" ht="45" x14ac:dyDescent="0.25">
      <c r="A16" s="13" t="s">
        <v>9</v>
      </c>
      <c r="B16" s="13" t="s">
        <v>210</v>
      </c>
      <c r="C16" s="13" t="s">
        <v>425</v>
      </c>
      <c r="D16" s="12" t="s">
        <v>50</v>
      </c>
      <c r="E16" s="12" t="s">
        <v>9</v>
      </c>
    </row>
    <row r="17" spans="1:6" s="13" customFormat="1" ht="30" x14ac:dyDescent="0.25">
      <c r="A17" s="13" t="s">
        <v>9</v>
      </c>
      <c r="B17" s="13" t="s">
        <v>210</v>
      </c>
      <c r="C17" s="13" t="s">
        <v>426</v>
      </c>
      <c r="D17" s="12" t="s">
        <v>51</v>
      </c>
      <c r="E17" s="12" t="s">
        <v>9</v>
      </c>
      <c r="F17" s="14">
        <f>F61</f>
        <v>20523.291091650441</v>
      </c>
    </row>
    <row r="18" spans="1:6" s="18" customFormat="1" ht="18.75" x14ac:dyDescent="0.3">
      <c r="A18" s="16"/>
      <c r="B18" s="17"/>
      <c r="C18" s="17"/>
      <c r="D18" s="16" t="s">
        <v>56</v>
      </c>
      <c r="E18" s="17"/>
      <c r="F18" s="17"/>
    </row>
    <row r="19" spans="1:6" s="13" customFormat="1" ht="45" x14ac:dyDescent="0.25">
      <c r="A19" s="13" t="s">
        <v>9</v>
      </c>
      <c r="B19" s="13" t="s">
        <v>210</v>
      </c>
      <c r="C19" s="13" t="s">
        <v>211</v>
      </c>
      <c r="D19" s="12" t="s">
        <v>212</v>
      </c>
      <c r="E19" s="13" t="s">
        <v>9</v>
      </c>
      <c r="F19" s="14">
        <f>(F20*F23)/((F22-F20)*F24)</f>
        <v>1.123142144638404</v>
      </c>
    </row>
    <row r="20" spans="1:6" ht="45" x14ac:dyDescent="0.25">
      <c r="A20" s="52" t="s">
        <v>6</v>
      </c>
      <c r="B20" t="s">
        <v>383</v>
      </c>
      <c r="C20" t="s">
        <v>214</v>
      </c>
      <c r="D20" s="8" t="s">
        <v>213</v>
      </c>
      <c r="E20" s="51" t="s">
        <v>6</v>
      </c>
      <c r="F20" s="11">
        <v>1</v>
      </c>
    </row>
    <row r="21" spans="1:6" ht="30" x14ac:dyDescent="0.25">
      <c r="A21" s="52" t="s">
        <v>6</v>
      </c>
      <c r="B21" t="s">
        <v>383</v>
      </c>
      <c r="C21" t="s">
        <v>216</v>
      </c>
      <c r="D21" s="8" t="s">
        <v>215</v>
      </c>
      <c r="E21" s="51" t="s">
        <v>6</v>
      </c>
      <c r="F21" s="11">
        <v>1</v>
      </c>
    </row>
    <row r="22" spans="1:6" ht="30" x14ac:dyDescent="0.25">
      <c r="A22" s="52" t="s">
        <v>6</v>
      </c>
      <c r="B22" t="s">
        <v>383</v>
      </c>
      <c r="C22" t="s">
        <v>217</v>
      </c>
      <c r="D22" s="8" t="s">
        <v>218</v>
      </c>
      <c r="E22" s="51" t="s">
        <v>6</v>
      </c>
      <c r="F22" s="11">
        <v>2</v>
      </c>
    </row>
    <row r="23" spans="1:6" s="13" customFormat="1" ht="30" x14ac:dyDescent="0.25">
      <c r="A23" s="13" t="s">
        <v>9</v>
      </c>
      <c r="B23" s="13" t="s">
        <v>210</v>
      </c>
      <c r="C23" s="13" t="s">
        <v>220</v>
      </c>
      <c r="D23" s="12" t="s">
        <v>219</v>
      </c>
      <c r="E23" s="13" t="s">
        <v>9</v>
      </c>
      <c r="F23" s="14">
        <f>18.0152</f>
        <v>18.0152</v>
      </c>
    </row>
    <row r="24" spans="1:6" s="13" customFormat="1" ht="45" x14ac:dyDescent="0.25">
      <c r="A24" s="13" t="s">
        <v>9</v>
      </c>
      <c r="B24" s="13" t="s">
        <v>210</v>
      </c>
      <c r="C24" s="13" t="s">
        <v>222</v>
      </c>
      <c r="D24" s="12" t="s">
        <v>221</v>
      </c>
      <c r="E24" s="13" t="s">
        <v>9</v>
      </c>
      <c r="F24" s="14">
        <f>SUM(F25*F26)</f>
        <v>16.04</v>
      </c>
    </row>
    <row r="25" spans="1:6" ht="47.25" customHeight="1" x14ac:dyDescent="0.25">
      <c r="A25" s="52" t="s">
        <v>6</v>
      </c>
      <c r="B25" t="s">
        <v>383</v>
      </c>
      <c r="C25" t="s">
        <v>231</v>
      </c>
      <c r="D25" s="8" t="s">
        <v>230</v>
      </c>
      <c r="E25" s="51" t="s">
        <v>6</v>
      </c>
      <c r="F25" s="11">
        <v>1</v>
      </c>
    </row>
    <row r="26" spans="1:6" s="13" customFormat="1" x14ac:dyDescent="0.25">
      <c r="A26" s="13" t="s">
        <v>9</v>
      </c>
      <c r="B26" s="13" t="s">
        <v>210</v>
      </c>
      <c r="C26" s="13" t="s">
        <v>224</v>
      </c>
      <c r="D26" s="13" t="s">
        <v>223</v>
      </c>
      <c r="E26" s="13" t="s">
        <v>9</v>
      </c>
      <c r="F26" s="14">
        <f>16.04</f>
        <v>16.04</v>
      </c>
    </row>
    <row r="27" spans="1:6" s="13" customFormat="1" ht="30" x14ac:dyDescent="0.25">
      <c r="A27" s="13" t="s">
        <v>9</v>
      </c>
      <c r="B27" s="13" t="s">
        <v>210</v>
      </c>
      <c r="C27" s="13" t="s">
        <v>226</v>
      </c>
      <c r="D27" s="12" t="s">
        <v>225</v>
      </c>
      <c r="E27" s="13" t="s">
        <v>9</v>
      </c>
      <c r="F27" s="13" t="s">
        <v>58</v>
      </c>
    </row>
    <row r="28" spans="1:6" s="13" customFormat="1" ht="45" x14ac:dyDescent="0.25">
      <c r="A28" s="13" t="s">
        <v>9</v>
      </c>
      <c r="B28" s="13" t="s">
        <v>210</v>
      </c>
      <c r="C28" s="13" t="s">
        <v>171</v>
      </c>
      <c r="D28" s="12" t="s">
        <v>229</v>
      </c>
      <c r="E28" s="13" t="s">
        <v>9</v>
      </c>
      <c r="F28" s="14">
        <f>F29*F30*F31</f>
        <v>16.040000000000003</v>
      </c>
    </row>
    <row r="29" spans="1:6" s="13" customFormat="1" ht="60" x14ac:dyDescent="0.25">
      <c r="A29" s="13" t="s">
        <v>9</v>
      </c>
      <c r="B29" s="13" t="s">
        <v>210</v>
      </c>
      <c r="C29" s="13" t="s">
        <v>227</v>
      </c>
      <c r="D29" s="12" t="s">
        <v>228</v>
      </c>
      <c r="E29" s="13" t="s">
        <v>9</v>
      </c>
      <c r="F29" s="14">
        <f>F36/F37</f>
        <v>22.412722427831234</v>
      </c>
    </row>
    <row r="30" spans="1:6" ht="60" x14ac:dyDescent="0.25">
      <c r="A30" s="52" t="s">
        <v>6</v>
      </c>
      <c r="B30" t="s">
        <v>383</v>
      </c>
      <c r="C30" t="s">
        <v>232</v>
      </c>
      <c r="D30" s="8" t="s">
        <v>233</v>
      </c>
      <c r="E30" s="52" t="s">
        <v>6</v>
      </c>
      <c r="F30" s="11">
        <v>1</v>
      </c>
    </row>
    <row r="31" spans="1:6" s="13" customFormat="1" ht="60" x14ac:dyDescent="0.25">
      <c r="A31" s="13" t="s">
        <v>9</v>
      </c>
      <c r="B31" s="13" t="s">
        <v>210</v>
      </c>
      <c r="C31" s="13" t="s">
        <v>235</v>
      </c>
      <c r="D31" s="12" t="s">
        <v>234</v>
      </c>
      <c r="E31" s="13" t="s">
        <v>9</v>
      </c>
      <c r="F31" s="14">
        <f>(F32*F34)/(F35*F33)</f>
        <v>0.71566495554695142</v>
      </c>
    </row>
    <row r="32" spans="1:6" s="13" customFormat="1" ht="30" x14ac:dyDescent="0.25">
      <c r="A32" s="13" t="s">
        <v>9</v>
      </c>
      <c r="B32" s="13" t="s">
        <v>210</v>
      </c>
      <c r="D32" s="12" t="s">
        <v>57</v>
      </c>
      <c r="E32" s="13" t="s">
        <v>9</v>
      </c>
      <c r="F32" s="14">
        <f>101325</f>
        <v>101325</v>
      </c>
    </row>
    <row r="33" spans="1:6" s="13" customFormat="1" ht="30" x14ac:dyDescent="0.25">
      <c r="A33" s="13" t="s">
        <v>9</v>
      </c>
      <c r="B33" s="13" t="s">
        <v>210</v>
      </c>
      <c r="C33" s="13" t="s">
        <v>237</v>
      </c>
      <c r="D33" s="12" t="s">
        <v>236</v>
      </c>
      <c r="E33" s="13" t="s">
        <v>9</v>
      </c>
      <c r="F33" s="14">
        <f>273.15</f>
        <v>273.14999999999998</v>
      </c>
    </row>
    <row r="34" spans="1:6" s="13" customFormat="1" ht="30" x14ac:dyDescent="0.25">
      <c r="A34" s="13" t="s">
        <v>9</v>
      </c>
      <c r="B34" s="13" t="s">
        <v>210</v>
      </c>
      <c r="C34" s="13" t="s">
        <v>239</v>
      </c>
      <c r="D34" s="12" t="s">
        <v>238</v>
      </c>
      <c r="E34" s="13" t="s">
        <v>9</v>
      </c>
      <c r="F34" s="14">
        <f>16.04</f>
        <v>16.04</v>
      </c>
    </row>
    <row r="35" spans="1:6" s="13" customFormat="1" ht="30" x14ac:dyDescent="0.25">
      <c r="A35" s="13" t="s">
        <v>9</v>
      </c>
      <c r="B35" s="13" t="s">
        <v>210</v>
      </c>
      <c r="C35" s="13" t="s">
        <v>241</v>
      </c>
      <c r="D35" s="12" t="s">
        <v>240</v>
      </c>
      <c r="E35" s="13" t="s">
        <v>9</v>
      </c>
      <c r="F35" s="14">
        <f>8314</f>
        <v>8314</v>
      </c>
    </row>
    <row r="36" spans="1:6" ht="30" x14ac:dyDescent="0.25">
      <c r="A36" s="52" t="s">
        <v>6</v>
      </c>
      <c r="B36" t="s">
        <v>383</v>
      </c>
      <c r="C36" t="s">
        <v>243</v>
      </c>
      <c r="D36" s="8" t="s">
        <v>242</v>
      </c>
      <c r="E36" s="52" t="s">
        <v>6</v>
      </c>
      <c r="F36" s="11">
        <v>1</v>
      </c>
    </row>
    <row r="37" spans="1:6" s="13" customFormat="1" ht="60" x14ac:dyDescent="0.25">
      <c r="A37" s="13" t="s">
        <v>9</v>
      </c>
      <c r="B37" s="13" t="s">
        <v>210</v>
      </c>
      <c r="C37" s="13" t="s">
        <v>245</v>
      </c>
      <c r="D37" s="12" t="s">
        <v>244</v>
      </c>
      <c r="E37" s="13" t="s">
        <v>9</v>
      </c>
      <c r="F37" s="14">
        <f>(F32*F38)/(F35*F33)</f>
        <v>4.4617515931854826E-2</v>
      </c>
    </row>
    <row r="38" spans="1:6" ht="60" x14ac:dyDescent="0.25">
      <c r="A38" s="52" t="s">
        <v>6</v>
      </c>
      <c r="B38" t="s">
        <v>383</v>
      </c>
      <c r="C38" t="s">
        <v>247</v>
      </c>
      <c r="D38" s="8" t="s">
        <v>246</v>
      </c>
      <c r="E38" s="52" t="s">
        <v>6</v>
      </c>
      <c r="F38" s="11">
        <v>1</v>
      </c>
    </row>
    <row r="39" spans="1:6" ht="45" x14ac:dyDescent="0.25">
      <c r="A39" s="52" t="s">
        <v>6</v>
      </c>
      <c r="B39" t="s">
        <v>383</v>
      </c>
      <c r="C39" t="s">
        <v>249</v>
      </c>
      <c r="D39" s="8" t="s">
        <v>248</v>
      </c>
      <c r="E39" s="52" t="s">
        <v>6</v>
      </c>
      <c r="F39" s="11">
        <v>1</v>
      </c>
    </row>
    <row r="40" spans="1:6" ht="30" x14ac:dyDescent="0.25">
      <c r="A40" s="52" t="s">
        <v>6</v>
      </c>
      <c r="B40" t="s">
        <v>7</v>
      </c>
      <c r="C40" t="s">
        <v>250</v>
      </c>
      <c r="D40" s="8" t="s">
        <v>623</v>
      </c>
      <c r="E40" s="52" t="s">
        <v>6</v>
      </c>
      <c r="F40" t="s">
        <v>59</v>
      </c>
    </row>
    <row r="41" spans="1:6" s="18" customFormat="1" ht="18.75" x14ac:dyDescent="0.3">
      <c r="A41" s="16"/>
      <c r="B41" s="17"/>
      <c r="C41" s="17"/>
      <c r="D41" s="16" t="s">
        <v>60</v>
      </c>
      <c r="E41" s="17"/>
      <c r="F41" s="17"/>
    </row>
    <row r="42" spans="1:6" s="13" customFormat="1" ht="30" x14ac:dyDescent="0.25">
      <c r="A42" s="13" t="s">
        <v>9</v>
      </c>
      <c r="B42" s="13" t="s">
        <v>210</v>
      </c>
      <c r="C42" s="13" t="s">
        <v>252</v>
      </c>
      <c r="D42" s="12" t="s">
        <v>251</v>
      </c>
      <c r="E42" s="13" t="s">
        <v>9</v>
      </c>
      <c r="F42" s="14">
        <f>F43*F44*F45</f>
        <v>0</v>
      </c>
    </row>
    <row r="43" spans="1:6" ht="45" x14ac:dyDescent="0.25">
      <c r="A43" s="52" t="s">
        <v>6</v>
      </c>
      <c r="B43" t="s">
        <v>383</v>
      </c>
      <c r="C43" t="s">
        <v>254</v>
      </c>
      <c r="D43" s="8" t="s">
        <v>253</v>
      </c>
      <c r="E43" s="52" t="s">
        <v>6</v>
      </c>
    </row>
    <row r="44" spans="1:6" s="13" customFormat="1" ht="45" x14ac:dyDescent="0.25">
      <c r="A44" s="13" t="s">
        <v>9</v>
      </c>
      <c r="B44" s="13" t="s">
        <v>210</v>
      </c>
      <c r="C44" s="13" t="s">
        <v>256</v>
      </c>
      <c r="D44" s="12" t="s">
        <v>255</v>
      </c>
      <c r="E44" s="13" t="s">
        <v>9</v>
      </c>
      <c r="F44" s="14">
        <v>0.6</v>
      </c>
    </row>
    <row r="45" spans="1:6" s="13" customFormat="1" ht="30" x14ac:dyDescent="0.25">
      <c r="A45" s="13" t="s">
        <v>9</v>
      </c>
      <c r="B45" s="13" t="s">
        <v>210</v>
      </c>
      <c r="C45" s="13" t="s">
        <v>258</v>
      </c>
      <c r="D45" s="12" t="s">
        <v>257</v>
      </c>
      <c r="E45" s="13" t="s">
        <v>9</v>
      </c>
      <c r="F45" s="14">
        <v>6.7000000000000002E-4</v>
      </c>
    </row>
    <row r="46" spans="1:6" s="18" customFormat="1" ht="18.75" x14ac:dyDescent="0.3">
      <c r="A46" s="16"/>
      <c r="B46" s="17"/>
      <c r="C46" s="17"/>
      <c r="D46" s="16" t="s">
        <v>64</v>
      </c>
      <c r="E46" s="17"/>
      <c r="F46" s="17"/>
    </row>
    <row r="47" spans="1:6" s="13" customFormat="1" ht="30" x14ac:dyDescent="0.25">
      <c r="A47" s="13" t="s">
        <v>9</v>
      </c>
      <c r="B47" s="13" t="s">
        <v>210</v>
      </c>
      <c r="C47" s="13" t="s">
        <v>260</v>
      </c>
      <c r="D47" s="12" t="s">
        <v>290</v>
      </c>
      <c r="E47" s="13" t="s">
        <v>9</v>
      </c>
      <c r="F47" s="14" t="e">
        <f>'Tool 05'!F13</f>
        <v>#VALUE!</v>
      </c>
    </row>
    <row r="48" spans="1:6" s="18" customFormat="1" ht="18.75" x14ac:dyDescent="0.3">
      <c r="A48" s="16"/>
      <c r="B48" s="17"/>
      <c r="C48" s="17"/>
      <c r="D48" s="16" t="s">
        <v>65</v>
      </c>
      <c r="E48" s="17"/>
      <c r="F48" s="17"/>
    </row>
    <row r="49" spans="1:6" s="13" customFormat="1" ht="45" x14ac:dyDescent="0.25">
      <c r="A49" s="13" t="s">
        <v>9</v>
      </c>
      <c r="B49" s="13" t="s">
        <v>210</v>
      </c>
      <c r="C49" s="13" t="s">
        <v>260</v>
      </c>
      <c r="D49" s="12" t="s">
        <v>259</v>
      </c>
      <c r="E49" s="13" t="s">
        <v>9</v>
      </c>
      <c r="F49" s="14" t="e">
        <f>F50*F51*F52</f>
        <v>#VALUE!</v>
      </c>
    </row>
    <row r="50" spans="1:6" ht="45" x14ac:dyDescent="0.25">
      <c r="A50" s="56" t="s">
        <v>6</v>
      </c>
      <c r="B50" t="s">
        <v>383</v>
      </c>
      <c r="C50" t="s">
        <v>252</v>
      </c>
      <c r="D50" s="8" t="s">
        <v>261</v>
      </c>
      <c r="E50" s="56" t="s">
        <v>6</v>
      </c>
    </row>
    <row r="51" spans="1:6" s="13" customFormat="1" ht="135" x14ac:dyDescent="0.25">
      <c r="A51" s="13" t="s">
        <v>9</v>
      </c>
      <c r="B51" s="13" t="s">
        <v>210</v>
      </c>
      <c r="C51" s="13" t="s">
        <v>263</v>
      </c>
      <c r="D51" s="15" t="s">
        <v>262</v>
      </c>
      <c r="E51" s="13" t="s">
        <v>9</v>
      </c>
      <c r="F51" s="12" t="s">
        <v>69</v>
      </c>
    </row>
    <row r="52" spans="1:6" s="13" customFormat="1" ht="45" x14ac:dyDescent="0.25">
      <c r="A52" s="13" t="s">
        <v>9</v>
      </c>
      <c r="B52" s="13" t="s">
        <v>210</v>
      </c>
      <c r="C52" s="13" t="s">
        <v>265</v>
      </c>
      <c r="D52" s="12" t="s">
        <v>264</v>
      </c>
      <c r="E52" s="13" t="s">
        <v>9</v>
      </c>
      <c r="F52" s="14">
        <v>1.3</v>
      </c>
    </row>
    <row r="53" spans="1:6" s="18" customFormat="1" ht="18.75" x14ac:dyDescent="0.3">
      <c r="A53" s="16"/>
      <c r="B53" s="17"/>
      <c r="C53" s="17"/>
      <c r="D53" s="16" t="s">
        <v>66</v>
      </c>
      <c r="E53" s="17"/>
      <c r="F53" s="17"/>
    </row>
    <row r="54" spans="1:6" s="13" customFormat="1" ht="30" x14ac:dyDescent="0.25">
      <c r="A54" s="13" t="s">
        <v>9</v>
      </c>
      <c r="B54" s="13" t="s">
        <v>210</v>
      </c>
      <c r="C54" s="13" t="s">
        <v>424</v>
      </c>
      <c r="D54" s="12" t="s">
        <v>290</v>
      </c>
      <c r="E54" s="13" t="s">
        <v>9</v>
      </c>
      <c r="F54" s="14" t="e">
        <f>'Tool 05'!F13</f>
        <v>#VALUE!</v>
      </c>
    </row>
    <row r="55" spans="1:6" s="18" customFormat="1" ht="18.75" x14ac:dyDescent="0.3">
      <c r="A55" s="16"/>
      <c r="B55" s="17"/>
      <c r="C55" s="17"/>
      <c r="D55" s="16" t="s">
        <v>67</v>
      </c>
      <c r="E55" s="17"/>
      <c r="F55" s="17"/>
    </row>
    <row r="56" spans="1:6" s="13" customFormat="1" ht="45" x14ac:dyDescent="0.25">
      <c r="A56" s="13" t="s">
        <v>9</v>
      </c>
      <c r="B56" s="13" t="s">
        <v>210</v>
      </c>
      <c r="C56" s="13" t="s">
        <v>266</v>
      </c>
      <c r="D56" s="12" t="s">
        <v>50</v>
      </c>
      <c r="E56" s="13" t="s">
        <v>9</v>
      </c>
      <c r="F56" s="14" t="e">
        <f>F57*F58*F59</f>
        <v>#VALUE!</v>
      </c>
    </row>
    <row r="57" spans="1:6" ht="45" x14ac:dyDescent="0.25">
      <c r="A57" s="56" t="s">
        <v>6</v>
      </c>
      <c r="B57" t="s">
        <v>383</v>
      </c>
      <c r="C57" t="s">
        <v>252</v>
      </c>
      <c r="D57" s="8" t="s">
        <v>261</v>
      </c>
      <c r="E57" s="56" t="s">
        <v>6</v>
      </c>
    </row>
    <row r="58" spans="1:6" s="13" customFormat="1" ht="135" x14ac:dyDescent="0.25">
      <c r="A58" s="13" t="s">
        <v>9</v>
      </c>
      <c r="B58" s="13" t="s">
        <v>210</v>
      </c>
      <c r="C58" s="13" t="s">
        <v>268</v>
      </c>
      <c r="D58" s="12" t="s">
        <v>267</v>
      </c>
      <c r="E58" s="13" t="s">
        <v>9</v>
      </c>
      <c r="F58" s="12" t="s">
        <v>70</v>
      </c>
    </row>
    <row r="59" spans="1:6" s="13" customFormat="1" ht="30" x14ac:dyDescent="0.25">
      <c r="A59" s="13" t="s">
        <v>9</v>
      </c>
      <c r="B59" s="13" t="s">
        <v>210</v>
      </c>
      <c r="C59" s="13" t="s">
        <v>270</v>
      </c>
      <c r="D59" s="12" t="s">
        <v>269</v>
      </c>
      <c r="E59" s="13" t="s">
        <v>9</v>
      </c>
      <c r="F59" s="14">
        <v>21</v>
      </c>
    </row>
    <row r="60" spans="1:6" s="18" customFormat="1" ht="18.75" x14ac:dyDescent="0.3">
      <c r="A60" s="16"/>
      <c r="B60" s="17"/>
      <c r="C60" s="17"/>
      <c r="D60" s="16" t="s">
        <v>68</v>
      </c>
      <c r="E60" s="17"/>
      <c r="F60" s="17"/>
    </row>
    <row r="61" spans="1:6" s="13" customFormat="1" ht="30" x14ac:dyDescent="0.25">
      <c r="A61" s="13" t="s">
        <v>9</v>
      </c>
      <c r="B61" s="13" t="s">
        <v>210</v>
      </c>
      <c r="C61" s="13" t="s">
        <v>193</v>
      </c>
      <c r="D61" s="12" t="s">
        <v>205</v>
      </c>
      <c r="E61" s="13" t="s">
        <v>9</v>
      </c>
      <c r="F61" s="14">
        <f>'Tool 06'!F69</f>
        <v>20523.291091650441</v>
      </c>
    </row>
    <row r="62" spans="1:6" s="18" customFormat="1" ht="18.75" x14ac:dyDescent="0.3">
      <c r="A62" s="16"/>
      <c r="B62" s="17"/>
      <c r="C62" s="17"/>
      <c r="D62" s="16" t="s">
        <v>74</v>
      </c>
      <c r="E62" s="17"/>
      <c r="F62" s="17"/>
    </row>
    <row r="63" spans="1:6" s="13" customFormat="1" ht="45" x14ac:dyDescent="0.25">
      <c r="A63" s="13" t="s">
        <v>9</v>
      </c>
      <c r="B63" s="13" t="s">
        <v>210</v>
      </c>
      <c r="C63" s="13" t="s">
        <v>272</v>
      </c>
      <c r="D63" s="12" t="s">
        <v>271</v>
      </c>
      <c r="E63" s="13" t="s">
        <v>9</v>
      </c>
      <c r="F63" s="14" t="e">
        <f>F64+F65</f>
        <v>#VALUE!</v>
      </c>
    </row>
    <row r="64" spans="1:6" s="13" customFormat="1" ht="60" x14ac:dyDescent="0.25">
      <c r="A64" s="13" t="s">
        <v>9</v>
      </c>
      <c r="B64" s="13" t="s">
        <v>210</v>
      </c>
      <c r="C64" s="13" t="s">
        <v>274</v>
      </c>
      <c r="D64" s="12" t="s">
        <v>273</v>
      </c>
      <c r="E64" s="13" t="s">
        <v>9</v>
      </c>
      <c r="F64" s="12" t="s">
        <v>621</v>
      </c>
    </row>
    <row r="65" spans="1:6" s="13" customFormat="1" ht="45" x14ac:dyDescent="0.25">
      <c r="A65" s="13" t="s">
        <v>9</v>
      </c>
      <c r="B65" s="13" t="s">
        <v>210</v>
      </c>
      <c r="C65" s="13" t="s">
        <v>276</v>
      </c>
      <c r="D65" s="12" t="s">
        <v>275</v>
      </c>
      <c r="E65" s="13" t="s">
        <v>9</v>
      </c>
      <c r="F65" s="22">
        <v>0</v>
      </c>
    </row>
    <row r="66" spans="1:6" s="18" customFormat="1" ht="18.75" x14ac:dyDescent="0.3">
      <c r="A66" s="16"/>
      <c r="B66" s="17"/>
      <c r="C66" s="17"/>
      <c r="D66" s="16" t="s">
        <v>75</v>
      </c>
      <c r="E66" s="17"/>
      <c r="F66" s="17"/>
    </row>
    <row r="67" spans="1:6" s="13" customFormat="1" ht="45" x14ac:dyDescent="0.25">
      <c r="A67" s="13" t="s">
        <v>9</v>
      </c>
      <c r="B67" s="13" t="s">
        <v>210</v>
      </c>
      <c r="C67" s="13" t="s">
        <v>274</v>
      </c>
      <c r="D67" s="12" t="s">
        <v>273</v>
      </c>
      <c r="E67" s="13" t="s">
        <v>9</v>
      </c>
      <c r="F67" s="14" t="e">
        <f>F68*F69*F70*F71*F72</f>
        <v>#VALUE!</v>
      </c>
    </row>
    <row r="68" spans="1:6" ht="29.25" customHeight="1" x14ac:dyDescent="0.25">
      <c r="A68" s="52" t="s">
        <v>6</v>
      </c>
      <c r="B68" t="s">
        <v>383</v>
      </c>
      <c r="C68" t="s">
        <v>278</v>
      </c>
      <c r="D68" s="8" t="s">
        <v>277</v>
      </c>
      <c r="E68" s="52" t="s">
        <v>6</v>
      </c>
    </row>
    <row r="69" spans="1:6" ht="45" x14ac:dyDescent="0.25">
      <c r="A69" s="52" t="s">
        <v>6</v>
      </c>
      <c r="B69" t="s">
        <v>383</v>
      </c>
      <c r="C69" t="s">
        <v>280</v>
      </c>
      <c r="D69" s="8" t="s">
        <v>279</v>
      </c>
      <c r="E69" s="52" t="s">
        <v>6</v>
      </c>
    </row>
    <row r="70" spans="1:6" s="13" customFormat="1" ht="45" x14ac:dyDescent="0.25">
      <c r="A70" s="13" t="s">
        <v>624</v>
      </c>
      <c r="B70" s="13" t="s">
        <v>210</v>
      </c>
      <c r="C70" s="13" t="s">
        <v>282</v>
      </c>
      <c r="D70" s="12" t="s">
        <v>281</v>
      </c>
      <c r="E70" s="13" t="s">
        <v>9</v>
      </c>
      <c r="F70" s="14">
        <f>0.25</f>
        <v>0.25</v>
      </c>
    </row>
    <row r="71" spans="1:6" s="41" customFormat="1" ht="45" x14ac:dyDescent="0.25">
      <c r="A71" s="41" t="s">
        <v>6</v>
      </c>
      <c r="B71" s="41" t="s">
        <v>209</v>
      </c>
      <c r="C71" s="41" t="s">
        <v>283</v>
      </c>
      <c r="D71" s="42" t="s">
        <v>465</v>
      </c>
      <c r="E71" s="41" t="s">
        <v>9</v>
      </c>
      <c r="F71" s="42" t="s">
        <v>466</v>
      </c>
    </row>
    <row r="72" spans="1:6" s="13" customFormat="1" ht="30" x14ac:dyDescent="0.25">
      <c r="A72" s="13" t="s">
        <v>9</v>
      </c>
      <c r="B72" s="13" t="s">
        <v>210</v>
      </c>
      <c r="C72" s="13" t="s">
        <v>270</v>
      </c>
      <c r="D72" s="12" t="s">
        <v>269</v>
      </c>
      <c r="E72" s="13" t="s">
        <v>9</v>
      </c>
      <c r="F72" s="14">
        <f>21</f>
        <v>21</v>
      </c>
    </row>
    <row r="73" spans="1:6" s="18" customFormat="1" ht="18.75" x14ac:dyDescent="0.3">
      <c r="A73" s="16"/>
      <c r="B73" s="17"/>
      <c r="C73" s="17"/>
      <c r="D73" s="16" t="s">
        <v>76</v>
      </c>
      <c r="E73" s="17"/>
      <c r="F73" s="17"/>
    </row>
    <row r="74" spans="1:6" s="13" customFormat="1" ht="45" x14ac:dyDescent="0.25">
      <c r="A74" s="13" t="s">
        <v>9</v>
      </c>
      <c r="B74" s="13" t="s">
        <v>210</v>
      </c>
      <c r="C74" s="13" t="s">
        <v>274</v>
      </c>
      <c r="D74" s="12" t="s">
        <v>273</v>
      </c>
      <c r="E74" s="13" t="s">
        <v>9</v>
      </c>
      <c r="F74" s="14" t="e">
        <f>F75*F76*F77</f>
        <v>#VALUE!</v>
      </c>
    </row>
    <row r="75" spans="1:6" s="41" customFormat="1" ht="75" x14ac:dyDescent="0.25">
      <c r="A75" s="41" t="s">
        <v>6</v>
      </c>
      <c r="B75" s="41" t="s">
        <v>209</v>
      </c>
      <c r="C75" s="41" t="s">
        <v>285</v>
      </c>
      <c r="D75" s="42" t="s">
        <v>284</v>
      </c>
      <c r="E75" s="41" t="s">
        <v>9</v>
      </c>
      <c r="F75" s="42" t="s">
        <v>463</v>
      </c>
    </row>
    <row r="76" spans="1:6" ht="30" x14ac:dyDescent="0.25">
      <c r="A76" t="s">
        <v>6</v>
      </c>
      <c r="B76" t="s">
        <v>383</v>
      </c>
      <c r="C76" t="s">
        <v>252</v>
      </c>
      <c r="D76" s="8" t="s">
        <v>251</v>
      </c>
      <c r="E76" t="s">
        <v>6</v>
      </c>
    </row>
    <row r="77" spans="1:6" s="13" customFormat="1" ht="30" x14ac:dyDescent="0.25">
      <c r="A77" s="13" t="s">
        <v>9</v>
      </c>
      <c r="B77" s="13" t="s">
        <v>210</v>
      </c>
      <c r="C77" s="13" t="s">
        <v>270</v>
      </c>
      <c r="D77" s="12" t="s">
        <v>269</v>
      </c>
      <c r="E77" s="13" t="s">
        <v>9</v>
      </c>
    </row>
    <row r="78" spans="1:6" s="18" customFormat="1" ht="18.75" x14ac:dyDescent="0.3">
      <c r="A78" s="16"/>
      <c r="B78" s="17"/>
      <c r="C78" s="17"/>
      <c r="D78" s="16" t="s">
        <v>77</v>
      </c>
      <c r="E78" s="17"/>
      <c r="F78" s="17"/>
    </row>
    <row r="79" spans="1:6" s="13" customFormat="1" ht="45" x14ac:dyDescent="0.25">
      <c r="A79" s="13" t="s">
        <v>9</v>
      </c>
      <c r="B79" s="13" t="s">
        <v>210</v>
      </c>
      <c r="C79" s="13" t="s">
        <v>274</v>
      </c>
      <c r="D79" s="12" t="s">
        <v>273</v>
      </c>
      <c r="E79" s="13" t="s">
        <v>9</v>
      </c>
      <c r="F79" s="14" t="e">
        <f>F80*F81*F82</f>
        <v>#VALUE!</v>
      </c>
    </row>
    <row r="80" spans="1:6" s="41" customFormat="1" ht="45" x14ac:dyDescent="0.25">
      <c r="A80" s="41" t="s">
        <v>6</v>
      </c>
      <c r="B80" s="41" t="s">
        <v>209</v>
      </c>
      <c r="C80" s="41" t="s">
        <v>287</v>
      </c>
      <c r="D80" s="42" t="s">
        <v>286</v>
      </c>
      <c r="E80" s="41" t="s">
        <v>9</v>
      </c>
      <c r="F80" s="42" t="s">
        <v>464</v>
      </c>
    </row>
    <row r="81" spans="1:6" ht="45" x14ac:dyDescent="0.25">
      <c r="A81" t="s">
        <v>6</v>
      </c>
      <c r="B81" t="s">
        <v>383</v>
      </c>
      <c r="C81" t="s">
        <v>252</v>
      </c>
      <c r="D81" s="8" t="s">
        <v>261</v>
      </c>
      <c r="E81" t="s">
        <v>6</v>
      </c>
    </row>
    <row r="82" spans="1:6" s="13" customFormat="1" ht="30" x14ac:dyDescent="0.25">
      <c r="A82" s="13" t="s">
        <v>9</v>
      </c>
      <c r="B82" s="13" t="s">
        <v>210</v>
      </c>
      <c r="C82" s="13" t="s">
        <v>270</v>
      </c>
      <c r="D82" s="12" t="s">
        <v>288</v>
      </c>
      <c r="E82" s="13" t="s">
        <v>9</v>
      </c>
      <c r="F82" s="14">
        <f>21</f>
        <v>21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2A71156DC7A845931FA815841BBBE9" ma:contentTypeVersion="11" ma:contentTypeDescription="Create a new document." ma:contentTypeScope="" ma:versionID="01a9576f7830710ba69f32f402e20fbd">
  <xsd:schema xmlns:xsd="http://www.w3.org/2001/XMLSchema" xmlns:xs="http://www.w3.org/2001/XMLSchema" xmlns:p="http://schemas.microsoft.com/office/2006/metadata/properties" xmlns:ns3="65777255-547c-4997-b980-b8ec387fc921" xmlns:ns4="544e15c9-ee33-4574-8cbe-20a29a71700b" targetNamespace="http://schemas.microsoft.com/office/2006/metadata/properties" ma:root="true" ma:fieldsID="2a97e5d917d34dc7936e7c5693002bb7" ns3:_="" ns4:_="">
    <xsd:import namespace="65777255-547c-4997-b980-b8ec387fc921"/>
    <xsd:import namespace="544e15c9-ee33-4574-8cbe-20a29a71700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77255-547c-4997-b980-b8ec387fc9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4e15c9-ee33-4574-8cbe-20a29a71700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5777255-547c-4997-b980-b8ec387fc921" xsi:nil="true"/>
  </documentManagement>
</p:properties>
</file>

<file path=customXml/itemProps1.xml><?xml version="1.0" encoding="utf-8"?>
<ds:datastoreItem xmlns:ds="http://schemas.openxmlformats.org/officeDocument/2006/customXml" ds:itemID="{989F4730-A23F-41CF-B459-FBDFD72BE582}">
  <ds:schemaRefs>
    <ds:schemaRef ds:uri="http://schemas.microsoft.com/sharepoint/v3/contenttype/forms"/>
  </ds:schemaRefs>
</ds:datastoreItem>
</file>

<file path=customXml/itemProps2.xml><?xml version="1.0" encoding="utf-8"?>
<ds:datastoreItem xmlns:ds="http://schemas.openxmlformats.org/officeDocument/2006/customXml" ds:itemID="{87ED38F2-E49D-46F1-A6C6-66BDBE4486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77255-547c-4997-b980-b8ec387fc921"/>
    <ds:schemaRef ds:uri="544e15c9-ee33-4574-8cbe-20a29a717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7AD7E7-8ED9-4C16-8655-66F24FC26718}">
  <ds:schemaRefs>
    <ds:schemaRef ds:uri="http://schemas.microsoft.com/office/2006/metadata/properties"/>
    <ds:schemaRef ds:uri="http://purl.org/dc/elements/1.1/"/>
    <ds:schemaRef ds:uri="http://www.w3.org/XML/1998/namespace"/>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544e15c9-ee33-4574-8cbe-20a29a71700b"/>
    <ds:schemaRef ds:uri="65777255-547c-4997-b980-b8ec387fc9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AMS-III.D</vt:lpstr>
      <vt:lpstr>Storage Device Registration</vt:lpstr>
      <vt:lpstr>Partial BE Based on LT 17a</vt:lpstr>
      <vt:lpstr>Partial BE Based on LT 17b</vt:lpstr>
      <vt:lpstr>PE Due to Leakage of Biogas 17a</vt:lpstr>
      <vt:lpstr>PE Due to Leakage of Biogas 17b</vt:lpstr>
      <vt:lpstr>Tool 03</vt:lpstr>
      <vt:lpstr>Tool 3 Add Fuel Type</vt:lpstr>
      <vt:lpstr>Tool 05</vt:lpstr>
      <vt:lpstr>Tool 05 Power Plants</vt:lpstr>
      <vt:lpstr>Tool 05 Avg Net Calorific Value</vt:lpstr>
      <vt:lpstr>Tool 05 Fuel Type Emission Fact</vt:lpstr>
      <vt:lpstr>Tool 06</vt:lpstr>
      <vt:lpstr>Tool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Jailine Molina</dc:creator>
  <cp:lastModifiedBy>Jailine Molina</cp:lastModifiedBy>
  <dcterms:created xsi:type="dcterms:W3CDTF">2023-08-02T15:55:33Z</dcterms:created>
  <dcterms:modified xsi:type="dcterms:W3CDTF">2023-08-22T02:56:00Z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0x0101005A2A71156DC7A845931FA815841BBBE9</vt:lpwstr>
  </property>
</Properties>
</file>