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envisionblockchain-my.sharepoint.com/personal/daniel_norkin_envisionblockchain_com/Documents/Marketing/Clients/UNFCCC/UNFCCC Project Documentation/UNFCCC 16 Methodologies/AMS-III.H/"/>
    </mc:Choice>
  </mc:AlternateContent>
  <xr:revisionPtr revIDLastSave="1996" documentId="11_E60897F41BE170836B02CE998F75CCDC64E183C8" xr6:coauthVersionLast="47" xr6:coauthVersionMax="47" xr10:uidLastSave="{64CF026D-4325-40F2-9F97-E478B6CB8134}"/>
  <bookViews>
    <workbookView minimized="1" xWindow="18240" yWindow="2775" windowWidth="7500" windowHeight="6000" xr2:uid="{00000000-000D-0000-FFFF-FFFF00000000}"/>
  </bookViews>
  <sheets>
    <sheet name="Main schema" sheetId="1" r:id="rId1"/>
    <sheet name="Tool 03" sheetId="9" r:id="rId2"/>
    <sheet name="Tool 04-SWDS-Yearly" sheetId="24" r:id="rId3"/>
    <sheet name="Dropdown Items" sheetId="25" r:id="rId4"/>
    <sheet name="Tool 05.1" sheetId="19" r:id="rId5"/>
    <sheet name="Tool 05.2 Power Plants" sheetId="20" r:id="rId6"/>
    <sheet name="Tool 05.3 Default Values" sheetId="21" r:id="rId7"/>
    <sheet name="Tool 06" sheetId="12" r:id="rId8"/>
    <sheet name="Tool 32" sheetId="10" r:id="rId9"/>
    <sheet name="Defaults" sheetId="8" r:id="rId10"/>
    <sheet name="IWA Properties" sheetId="26" r:id="rId11"/>
    <sheet name="MCF" sheetId="2" r:id="rId12"/>
    <sheet name="Monitoring Params" sheetId="3" r:id="rId13"/>
    <sheet name="Appendix - Distribution Biogas" sheetId="4" r:id="rId14"/>
    <sheet name="Appendix - MCF Equipments" sheetId="7" r:id="rId15"/>
    <sheet name="Appendix - All Equations" sheetId="6" r:id="rId16"/>
    <sheet name="All Equations" sheetId="5"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8" i="1" l="1"/>
  <c r="H39" i="1"/>
  <c r="H158" i="1"/>
  <c r="H165" i="1"/>
  <c r="H162" i="1"/>
  <c r="H123" i="1"/>
  <c r="H37" i="1"/>
  <c r="C85" i="24" l="1"/>
  <c r="C84" i="24"/>
  <c r="C83" i="24"/>
  <c r="C82" i="24"/>
  <c r="H175" i="1" s="1"/>
  <c r="C77" i="24"/>
  <c r="C86" i="24" s="1"/>
  <c r="H178" i="1" s="1"/>
  <c r="C75" i="24"/>
  <c r="D71" i="24"/>
  <c r="D69" i="24"/>
  <c r="C69" i="24"/>
  <c r="D66" i="24"/>
  <c r="C66" i="24"/>
  <c r="D65" i="24"/>
  <c r="D64" i="24"/>
  <c r="D62" i="24"/>
  <c r="C62" i="24"/>
  <c r="D59" i="24"/>
  <c r="C59" i="24"/>
  <c r="D58" i="24"/>
  <c r="D57" i="24"/>
  <c r="D56" i="24"/>
  <c r="D54" i="24"/>
  <c r="C54" i="24"/>
  <c r="D53" i="24"/>
  <c r="D52" i="24"/>
  <c r="D51" i="24"/>
  <c r="D50" i="24"/>
  <c r="D48" i="24"/>
  <c r="C48" i="24"/>
  <c r="D45" i="24"/>
  <c r="D44" i="24"/>
  <c r="C44" i="24"/>
  <c r="C45" i="24" s="1"/>
  <c r="C76" i="24" s="1"/>
  <c r="D43" i="24"/>
  <c r="D42" i="24"/>
  <c r="D40" i="24"/>
  <c r="D38" i="24"/>
  <c r="D35" i="24"/>
  <c r="C35" i="24"/>
  <c r="D34" i="24"/>
  <c r="C34" i="24"/>
  <c r="D33" i="24"/>
  <c r="C33" i="24"/>
  <c r="D32" i="24"/>
  <c r="C32" i="24"/>
  <c r="D31" i="24"/>
  <c r="C31" i="24"/>
  <c r="D30" i="24"/>
  <c r="C30" i="24"/>
  <c r="D29" i="24"/>
  <c r="C29" i="24"/>
  <c r="D28" i="24"/>
  <c r="C28" i="24"/>
  <c r="D26" i="24"/>
  <c r="C26" i="24"/>
  <c r="D22" i="24"/>
  <c r="D21" i="24"/>
  <c r="D19" i="24"/>
  <c r="D18" i="24"/>
  <c r="D17" i="24"/>
  <c r="D16" i="24"/>
  <c r="D15" i="24"/>
  <c r="D14" i="24"/>
  <c r="D13" i="24"/>
  <c r="D12" i="24"/>
  <c r="D11" i="24"/>
  <c r="H114" i="1" l="1"/>
  <c r="G35" i="20"/>
  <c r="G34" i="20"/>
  <c r="G32" i="20" s="1"/>
  <c r="G23" i="20"/>
  <c r="G22" i="20"/>
  <c r="G20" i="20" s="1"/>
  <c r="G11" i="20"/>
  <c r="G10" i="20"/>
  <c r="G8" i="20" s="1"/>
  <c r="G4" i="20" s="1"/>
  <c r="G38" i="19" s="1"/>
  <c r="G23" i="19"/>
  <c r="G22" i="19"/>
  <c r="G17" i="19"/>
  <c r="G16" i="19" s="1"/>
  <c r="G12" i="19"/>
  <c r="G11" i="19"/>
  <c r="G7" i="19"/>
  <c r="G6" i="19" s="1"/>
  <c r="G19" i="20" l="1"/>
  <c r="G7" i="20"/>
  <c r="G31" i="20"/>
  <c r="H225" i="1"/>
  <c r="H180" i="1"/>
  <c r="F50" i="12"/>
  <c r="F48" i="12"/>
  <c r="F47" i="12"/>
  <c r="F45" i="12"/>
  <c r="F44" i="12"/>
  <c r="G37" i="9"/>
  <c r="G33" i="9"/>
  <c r="G32" i="9"/>
  <c r="G30" i="9"/>
  <c r="G28" i="9"/>
  <c r="G19" i="9"/>
  <c r="G15" i="9"/>
  <c r="G14" i="9"/>
  <c r="G12" i="9"/>
  <c r="G10" i="9"/>
  <c r="G3" i="9"/>
  <c r="B17" i="8"/>
  <c r="B18" i="8"/>
  <c r="B8" i="8"/>
  <c r="B15" i="8"/>
  <c r="B16" i="8"/>
  <c r="B14" i="8"/>
  <c r="B9" i="8"/>
  <c r="B12" i="8"/>
  <c r="B11" i="8"/>
  <c r="H157" i="1"/>
  <c r="H156" i="1"/>
  <c r="H155" i="1"/>
  <c r="H154" i="1"/>
  <c r="H153" i="1"/>
  <c r="H138" i="1"/>
  <c r="H137" i="1"/>
  <c r="H136" i="1"/>
  <c r="H135" i="1"/>
  <c r="H133" i="1"/>
  <c r="H98" i="1"/>
  <c r="H97" i="1"/>
  <c r="H92" i="1"/>
  <c r="H91" i="1"/>
  <c r="H90" i="1"/>
  <c r="H89" i="1"/>
  <c r="H88" i="1"/>
  <c r="H87" i="1"/>
  <c r="H82" i="1"/>
  <c r="H96" i="1" s="1"/>
  <c r="F57" i="4"/>
  <c r="F53" i="4"/>
  <c r="F24" i="4"/>
  <c r="F21" i="4"/>
  <c r="F14" i="4"/>
  <c r="F11" i="4"/>
  <c r="F8" i="4" s="1"/>
  <c r="F7" i="4" s="1"/>
  <c r="F4" i="4" s="1"/>
  <c r="F3" i="4"/>
  <c r="H227" i="1"/>
  <c r="H219" i="1"/>
  <c r="H211" i="1"/>
  <c r="H198" i="1"/>
  <c r="H194" i="1"/>
  <c r="H185" i="1"/>
  <c r="H186" i="1"/>
  <c r="H192" i="1"/>
  <c r="H183" i="1"/>
  <c r="H170" i="1"/>
  <c r="H167" i="1"/>
  <c r="H164" i="1"/>
  <c r="H144" i="1"/>
  <c r="H126" i="1"/>
  <c r="H145" i="1"/>
  <c r="H130" i="1"/>
  <c r="H113" i="1"/>
  <c r="H75" i="1"/>
  <c r="H68" i="1"/>
  <c r="H49" i="1"/>
  <c r="H44" i="1"/>
  <c r="H51" i="1"/>
  <c r="H202" i="1"/>
  <c r="H173" i="1"/>
  <c r="H148" i="1"/>
  <c r="H117" i="1"/>
  <c r="H67" i="1"/>
  <c r="H66" i="1"/>
  <c r="H116" i="1"/>
  <c r="H147" i="1"/>
  <c r="H172" i="1"/>
  <c r="H201" i="1"/>
  <c r="H200" i="1"/>
  <c r="H171" i="1"/>
  <c r="H146" i="1"/>
  <c r="H115" i="1"/>
  <c r="H65" i="1"/>
  <c r="H195" i="1"/>
  <c r="H174" i="1"/>
  <c r="H149" i="1"/>
  <c r="H131" i="1"/>
  <c r="H118" i="1"/>
  <c r="H106" i="1"/>
  <c r="H76" i="1"/>
  <c r="H70" i="1"/>
  <c r="H53" i="1"/>
  <c r="H199" i="1"/>
  <c r="H190" i="1"/>
  <c r="H163" i="1"/>
  <c r="H129" i="1"/>
  <c r="H105" i="1"/>
  <c r="H69" i="1"/>
  <c r="H52" i="1"/>
  <c r="H189" i="1"/>
  <c r="H104" i="1"/>
  <c r="H128" i="1"/>
  <c r="H60" i="1"/>
  <c r="H161" i="1" l="1"/>
  <c r="H169" i="1"/>
  <c r="H187" i="1"/>
  <c r="H184" i="1" s="1"/>
  <c r="H196" i="1"/>
  <c r="H193" i="1" s="1"/>
  <c r="H181" i="1" s="1"/>
  <c r="H102" i="1"/>
  <c r="H222" i="1"/>
  <c r="H95" i="1"/>
  <c r="G3" i="20"/>
  <c r="G37" i="19" s="1"/>
  <c r="F67" i="12"/>
  <c r="F66" i="12"/>
  <c r="F65" i="12"/>
  <c r="F64" i="12"/>
  <c r="H141" i="1"/>
  <c r="H124" i="1"/>
  <c r="H112" i="1"/>
  <c r="H111" i="1" s="1"/>
  <c r="H55" i="1"/>
  <c r="F44" i="4"/>
  <c r="F50" i="4"/>
  <c r="F49" i="4" s="1"/>
  <c r="F25" i="4"/>
  <c r="F35" i="4"/>
  <c r="H74" i="1"/>
  <c r="H73" i="1" s="1"/>
  <c r="H36" i="1" l="1"/>
  <c r="H217" i="1" s="1"/>
  <c r="H121" i="1"/>
  <c r="H218" i="1" s="1"/>
  <c r="F62" i="12"/>
  <c r="F61" i="12"/>
  <c r="F58" i="12" s="1"/>
  <c r="F60" i="12"/>
  <c r="F59" i="12"/>
  <c r="F19" i="4"/>
  <c r="H221" i="1" l="1"/>
  <c r="H216" i="1"/>
  <c r="F57" i="12"/>
  <c r="F56" i="12" s="1"/>
  <c r="F54" i="12" s="1"/>
  <c r="F52" i="12" s="1"/>
  <c r="F69"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tc={8D5C406E-9333-403D-86E3-6C9AB51D26CF}</author>
  </authors>
  <commentList>
    <comment ref="I141" authorId="0" shapeId="0" xr:uid="{8D5C406E-9333-403D-86E3-6C9AB51D26CF}">
      <text>
        <t xml:space="preserve">[Threaded comment]
Your version of Excel allows you to read this threaded comment; however, any edits to it will get removed if the file is opened in a newer version of Excel. Learn more: https://go.microsoft.com/fwlink/?linkid=870924
Comment:
    @Jailine Molina Methodology mentions using an uncertainty factor  of 1.12, I'm assuming that means multiplying the final calculated value with 1.12. Please correct me if I'm wrong. 
Reply:
    That's correct
Reply:
    Thanks. Please let me know right here by commenting on a relevant cell if there are any questions or concerns. </t>
      </text>
    </comment>
  </commentList>
</comments>
</file>

<file path=xl/sharedStrings.xml><?xml version="1.0" encoding="utf-8"?>
<sst xmlns="http://schemas.openxmlformats.org/spreadsheetml/2006/main" count="3853" uniqueCount="1786">
  <si>
    <t>Required Field</t>
  </si>
  <si>
    <t>Selective Disclosure</t>
  </si>
  <si>
    <t>Allow Multiple Answers</t>
  </si>
  <si>
    <t>Properties</t>
  </si>
  <si>
    <t>Schema Type</t>
  </si>
  <si>
    <t>Parameter</t>
  </si>
  <si>
    <t>Question</t>
  </si>
  <si>
    <t>Answer</t>
  </si>
  <si>
    <t>Notes</t>
  </si>
  <si>
    <t>Project Details</t>
  </si>
  <si>
    <t>Yes</t>
  </si>
  <si>
    <t>No</t>
  </si>
  <si>
    <t>String</t>
  </si>
  <si>
    <t>N/A</t>
  </si>
  <si>
    <t>Summary Description of the Project</t>
  </si>
  <si>
    <t>Wastewater methane capture and combustion</t>
  </si>
  <si>
    <t>ActivityImpactModule.projectScope</t>
  </si>
  <si>
    <t>Sectoral Scope</t>
  </si>
  <si>
    <t>Sectoral Scope 13</t>
  </si>
  <si>
    <t>ActivityImpactModule.projectType</t>
  </si>
  <si>
    <t>Project Type</t>
  </si>
  <si>
    <t>Project activity</t>
  </si>
  <si>
    <t>Type of Activity</t>
  </si>
  <si>
    <t>Methane recovery and destruction</t>
  </si>
  <si>
    <t>ActivityImpactModule.projectScale</t>
  </si>
  <si>
    <t>Project Scale</t>
  </si>
  <si>
    <t>Small-scale</t>
  </si>
  <si>
    <t>GeographicLocation.latitude</t>
  </si>
  <si>
    <t>Project Location Latitude</t>
  </si>
  <si>
    <t>GeographicLocation.longitude</t>
  </si>
  <si>
    <t>Project Location Longitude</t>
  </si>
  <si>
    <t>GeographicLocation.geoJsonOrKml</t>
  </si>
  <si>
    <t>GeoJSON</t>
  </si>
  <si>
    <t>Project Location GeoJSON (GeoJSON supports the following geometry types:
Point, LineString, Polygon, MultiPoint, MultiLineString, MultiPolygon.)</t>
  </si>
  <si>
    <t>{"type":"Point","coordinates":[12.05,-96.95]}</t>
  </si>
  <si>
    <t>Project Eligibility</t>
  </si>
  <si>
    <t>Meets VCS rules</t>
  </si>
  <si>
    <t>AccountableImpactOrganization.name</t>
  </si>
  <si>
    <t>Project Participant Organization Name</t>
  </si>
  <si>
    <t>Wastewater Corp</t>
  </si>
  <si>
    <t>Project Participant Contact Person</t>
  </si>
  <si>
    <t>Jane Smith</t>
  </si>
  <si>
    <t xml:space="preserve">Project Participant Title </t>
  </si>
  <si>
    <t>Engineer</t>
  </si>
  <si>
    <t>AccountableImpactOrganization.addresses</t>
  </si>
  <si>
    <t>Address</t>
  </si>
  <si>
    <t>Project Participant Address</t>
  </si>
  <si>
    <t>789 Water St, Jakarta</t>
  </si>
  <si>
    <t>AccountableImpactOrganization.country</t>
  </si>
  <si>
    <t>Project Participant Country</t>
  </si>
  <si>
    <t>Indonesia</t>
  </si>
  <si>
    <t>Phone Number</t>
  </si>
  <si>
    <t xml:space="preserve">Project Participant Telephone </t>
  </si>
  <si>
    <t>+62 21 234 5678</t>
  </si>
  <si>
    <t>Email</t>
  </si>
  <si>
    <t>Project Participant Email</t>
  </si>
  <si>
    <t>jane.smith@wastewatercorp.com</t>
  </si>
  <si>
    <t>AccountableImpactOrganization.owners</t>
  </si>
  <si>
    <t>Project Ownership</t>
  </si>
  <si>
    <t>Owned and operated by Wastewater Corp</t>
  </si>
  <si>
    <t>Participation under other GHG Programs</t>
  </si>
  <si>
    <t>Not seeking registration under any program</t>
  </si>
  <si>
    <t>Other Forms of Environmental Credit</t>
  </si>
  <si>
    <t>No other credits generated</t>
  </si>
  <si>
    <t>Project Rejected by Other GHG Programs</t>
  </si>
  <si>
    <t>Not rejected previously</t>
  </si>
  <si>
    <t>QualityStandard.methodologyAndTools</t>
  </si>
  <si>
    <t>Select all that apply</t>
  </si>
  <si>
    <t>Title and Reference of Methodologies</t>
  </si>
  <si>
    <t>CDM - AMS-III.H.</t>
  </si>
  <si>
    <t xml:space="preserve">Date  </t>
  </si>
  <si>
    <t xml:space="preserve">Project Start Date </t>
  </si>
  <si>
    <t>Date Range</t>
  </si>
  <si>
    <t>Crediting Period</t>
  </si>
  <si>
    <t>7 years renewable (2 times)</t>
  </si>
  <si>
    <t>Monitoring Period</t>
  </si>
  <si>
    <t>01/03/2022 - 28/02/2023</t>
  </si>
  <si>
    <t>Monitoring Plan</t>
  </si>
  <si>
    <t>As per AMS-III.H requirements</t>
  </si>
  <si>
    <t>Compliance with Laws, Statutes and Other Regulatory Frameworks</t>
  </si>
  <si>
    <t>Has environmental clearance certificate</t>
  </si>
  <si>
    <t>CoBenefit.unSdg</t>
  </si>
  <si>
    <t>Sustainable development</t>
  </si>
  <si>
    <t>Improves wastewater treatment, reduces pollution</t>
  </si>
  <si>
    <t>Further Information</t>
  </si>
  <si>
    <t>No additional relevant information</t>
  </si>
  <si>
    <t>Additionality tool to be used</t>
  </si>
  <si>
    <t>no</t>
  </si>
  <si>
    <t>Default Constant</t>
  </si>
  <si>
    <t>Would you be using "Simplified procedure to demonstrate additionality" (Tool 32)?</t>
  </si>
  <si>
    <t xml:space="preserve">While applying this tool, the project proponent is not required to demonstrate compliance with conditions 12 (c) and 12 (d) of this tool. The simplified procedure to demonstrate additionality does not apply to Greenfield project activities. </t>
  </si>
  <si>
    <t>Date</t>
  </si>
  <si>
    <t>Year(Y)</t>
  </si>
  <si>
    <t>Select the time range for baseline, project and reduction calculations (Extract year y from it)</t>
  </si>
  <si>
    <t>Baseline Emissions</t>
  </si>
  <si>
    <t>Auto-Calculate</t>
  </si>
  <si>
    <t>BEy</t>
  </si>
  <si>
    <t>What are the baseline emissions in year y? (t CO2e)</t>
  </si>
  <si>
    <t>Equation 1</t>
  </si>
  <si>
    <t>Number</t>
  </si>
  <si>
    <t>What is the baseline emissions from electricity or fossil fuel consumption in year y (t CO2e)?</t>
  </si>
  <si>
    <t>Sum of "Tool to calculate baseline, project and/or
leakage emissions from electricity consumption" and “Tool to calculate project or leakage
CO2 emissions from fossil fuel combustion”</t>
  </si>
  <si>
    <t>BEww,treatment,y</t>
  </si>
  <si>
    <t>What is the value of Baseline Emissions from Wastewater Treatment Systems?</t>
  </si>
  <si>
    <t>[CLICK TO ADD BASELINE WASTEWATER TREATMENT SYSTEM]</t>
  </si>
  <si>
    <t>Qww,i,y</t>
  </si>
  <si>
    <t>What is the volume of wastewater treated in baseline wastewater treatment system I in year y (m3)?</t>
  </si>
  <si>
    <t>CODinflow,i,y</t>
  </si>
  <si>
    <t>What is the Chemical Oxygen Demand (COD) of the wastewater inflow to the baseline treatment system I in year y (t/m3)?</t>
  </si>
  <si>
    <t>ηCOD,BL,i</t>
  </si>
  <si>
    <t>What is the COD removal efficiency of the baseline treatment system I?</t>
  </si>
  <si>
    <t>MCF𝑤𝑤,𝑡𝑟𝑒𝑎𝑡𝑚𝑒𝑛𝑡,𝐵𝐿,𝑖</t>
  </si>
  <si>
    <t>What is the Methane Correction Factor (MCF) for baseline wastewater treatment system I?</t>
  </si>
  <si>
    <t>What is the volume of wastewater treated in baseline wastewater treatment system II in year y (m3)?</t>
  </si>
  <si>
    <t>What is the Chemical Oxygen Demand (COD) of the wastewater inflow to the baseline treatment system II in year y (t/m3)?</t>
  </si>
  <si>
    <t>What is the COD removal efficiency of the baseline treatment system II?</t>
  </si>
  <si>
    <t>What is the Methane Correction Factor (MCF) for baseline wastewater treatment system II?</t>
  </si>
  <si>
    <t xml:space="preserve">𝐵𝑜,𝑤𝑤 </t>
  </si>
  <si>
    <t>Methane producing capacity of the wastewater (IPCC value of 0.25 kg CH4/kg COD)5</t>
  </si>
  <si>
    <t>𝑈𝐹BL</t>
  </si>
  <si>
    <t>Model correction factor to account for model uncertainties - 0.89</t>
  </si>
  <si>
    <t>𝐺𝑊𝑃𝐶𝐻4</t>
  </si>
  <si>
    <t>Global Warming Potential for methane</t>
  </si>
  <si>
    <t>Fixed</t>
  </si>
  <si>
    <t>BEs,treatment,y</t>
  </si>
  <si>
    <t xml:space="preserve">Baseline Emissions from Sludge Treatment Systems </t>
  </si>
  <si>
    <t>[CLICK TO ADD BASELINE SLUDGE TREATMENT SYSTEM]</t>
  </si>
  <si>
    <t>Enum</t>
  </si>
  <si>
    <t>Choice</t>
  </si>
  <si>
    <t>Is sludge composted?</t>
  </si>
  <si>
    <t>If yes, redirect to "Optional Scenario", else continue.</t>
  </si>
  <si>
    <t>Is baseline treatment system different from the treatment system in project scenario?</t>
  </si>
  <si>
    <t>If yes, Calculate F68 using formula, else, ask for input.</t>
  </si>
  <si>
    <t>Sj,BL,y​</t>
  </si>
  <si>
    <t>What is the amount of dry matter in the sludge that would have been treated by the sludge treatment system I in the baseline scenario?</t>
  </si>
  <si>
    <t>If baseline treatment system is different from project scenario, then use formula in F68, else ask for input.</t>
  </si>
  <si>
    <t>Si,PJ,y</t>
  </si>
  <si>
    <r>
      <rPr>
        <sz val="11"/>
        <color rgb="FF000000"/>
        <rFont val="Calibri"/>
        <family val="2"/>
        <scheme val="minor"/>
      </rPr>
      <t xml:space="preserve">Amount of dry matter in the sludge treated by the sludge treatment system I in year y in the </t>
    </r>
    <r>
      <rPr>
        <b/>
        <sz val="11"/>
        <color rgb="FF000000"/>
        <rFont val="Calibri"/>
        <family val="2"/>
        <scheme val="minor"/>
      </rPr>
      <t>project scenario</t>
    </r>
    <r>
      <rPr>
        <sz val="11"/>
        <color rgb="FF000000"/>
        <rFont val="Calibri"/>
        <family val="2"/>
        <scheme val="minor"/>
      </rPr>
      <t xml:space="preserve"> (t)</t>
    </r>
  </si>
  <si>
    <t>Only needed if baseline treatment system is different</t>
  </si>
  <si>
    <t>SGRBL</t>
  </si>
  <si>
    <t>What is the sludge generation ratio of the wastewater treatment plant in the baseline scenario (tonne of dry matter in sludge/t COD removed)</t>
  </si>
  <si>
    <t xml:space="preserve">
</t>
  </si>
  <si>
    <t>SGRPJ</t>
  </si>
  <si>
    <t>What is the sludge generation ratio of the wastewater treatment plant in the project scenario (tonne of dry matter in sludge/t COD removed)</t>
  </si>
  <si>
    <t>DOCs​</t>
  </si>
  <si>
    <t>What is the degradable organic content of the untreated sludge generated in the year y?</t>
  </si>
  <si>
    <t>Sludge analysis tools</t>
  </si>
  <si>
    <t>DOCF​</t>
  </si>
  <si>
    <t>What is the fraction of DOC dissimilated to biogas?</t>
  </si>
  <si>
    <t>IPCC default values</t>
  </si>
  <si>
    <t>F</t>
  </si>
  <si>
    <t>What is the fraction of CH4​ in biogas?</t>
  </si>
  <si>
    <t>MCFs,treatment,BL,j​</t>
  </si>
  <si>
    <t>What is the methane correction factor for the baseline sludge treatment system I?</t>
  </si>
  <si>
    <t>Table 2, Sludge treatment system data</t>
  </si>
  <si>
    <t>OPTIONAL SCENARIO</t>
  </si>
  <si>
    <t>If baseline treatment system is different from project scenario, then use formula in F28, else ask for input.</t>
  </si>
  <si>
    <t>EFcomposting</t>
  </si>
  <si>
    <t>Emission factor for composting organic waste (t CH4/t waste treated)</t>
  </si>
  <si>
    <t>Only needed for Equation4</t>
  </si>
  <si>
    <t>If yes, Calculate F28 using formula, else, ask for input.</t>
  </si>
  <si>
    <t>What is the amount of dry matter in the sludge that would have been treated by the sludge treatment system II in the baseline scenario?</t>
  </si>
  <si>
    <t>Amount of dry matter in the sludge treated by the sludge treatment system II in year y in the project scenario (t)</t>
  </si>
  <si>
    <t>What is the methane correction factor for the baseline sludge treatment system II?</t>
  </si>
  <si>
    <t>BEww,discharge,y</t>
  </si>
  <si>
    <t>Baseline Emissions from Degradable Organic Carbon in Treated Wastewater</t>
  </si>
  <si>
    <t>CODww,discharge,BL,y</t>
  </si>
  <si>
    <t>What is the Chemical oxygen demand of the treated wastewater discharged into sea river or lake in the baseline situation in the year y (t/m3)</t>
  </si>
  <si>
    <t>MCFww,BL,discharge</t>
  </si>
  <si>
    <t>Methane correction factor based on discharge pathway in the baseline situation of the wastewater</t>
  </si>
  <si>
    <t>Is the sludge is controlled combusted, disposed in a landfill with biogas recovery, or used for soil application in the baseline scenario?</t>
  </si>
  <si>
    <t>If yes, BEs,final,y below will be calculated, else set to 0.</t>
  </si>
  <si>
    <t>BEs,final,y</t>
  </si>
  <si>
    <t>What are Baseline Emissions from Anaerobic Decay of Final Sludge?</t>
  </si>
  <si>
    <t>Sfinal,BL,y</t>
  </si>
  <si>
    <t>What is the mount of dry matter in the final sludge generated by the baseline wastewater treatment systems?</t>
  </si>
  <si>
    <t>UFBL</t>
  </si>
  <si>
    <t>Model correction factor to account for model uncertainties?</t>
  </si>
  <si>
    <t>MCFs,BL,final</t>
  </si>
  <si>
    <t>Methane correction factor of the disposal site that receives the final sludge in the baseline situation</t>
  </si>
  <si>
    <t>Tool to determine methane emissions avoided from dumping waste at a solid waste disposal site</t>
  </si>
  <si>
    <t>Degradable organic content of the untreated sludge generated in the year y</t>
  </si>
  <si>
    <t>Fraction of DOC dissimilated to biogas</t>
  </si>
  <si>
    <t>Fraction of CH4​ in biogas</t>
  </si>
  <si>
    <t>Project Emissions</t>
  </si>
  <si>
    <t>PEy</t>
  </si>
  <si>
    <t>What are the total project emissions in year y (tCO2e)?</t>
  </si>
  <si>
    <t>Equation 8</t>
  </si>
  <si>
    <t>PEpower,y</t>
  </si>
  <si>
    <t>What are the emissions from electricity or fuel consumption in year y (tCO2e)?</t>
  </si>
  <si>
    <t>Tool to calculate baseline project and/or leakage emissions from electricity consumption</t>
  </si>
  <si>
    <t>PEww,treatment,y</t>
  </si>
  <si>
    <t>What are the methane emissions from wastewater treatment systems affected by the project activity, and not equipped with biogas recovery, in year y (tCO2e)?</t>
  </si>
  <si>
    <t>Equation 2. Also use a uncertainity factor of 1.12</t>
  </si>
  <si>
    <t>[CLICK TO ADD WASTEWATER TREATMENT SYSTEM]</t>
  </si>
  <si>
    <t>MCFww,treatment,PJ,k</t>
  </si>
  <si>
    <t>What is the Methane correction factor for project wastewater
treatment system I?</t>
  </si>
  <si>
    <t>Table 2 of methodology</t>
  </si>
  <si>
    <t>CODremoved,PJ,k,y</t>
  </si>
  <si>
    <t>What is the chemical oxygen demand removed by treatment system I equipped with biogas recovery in year y (t/m3)?</t>
  </si>
  <si>
    <t>What is the volume of wastewater treated in project wastewater treatment system I in year y (m3)?</t>
  </si>
  <si>
    <t>𝑈𝐹PJ</t>
  </si>
  <si>
    <t>What is the Methane correction factor for project wastewater
treatment system II?</t>
  </si>
  <si>
    <t>What is the chemical oxygen demand removed by treatment system II equipped with biogas recovery in year y (t/m3)?</t>
  </si>
  <si>
    <t>What is the volume of wastewater treated in project wastewater treatment system II in year y (m3)?</t>
  </si>
  <si>
    <t>PEs,treatment,y</t>
  </si>
  <si>
    <t>What are the methane emissions from sludge treatment systems affected by the project activity, and not equipped with biogas recovery, in year y (tCO2e)?</t>
  </si>
  <si>
    <t>Equation 3 and 4. Also use a uncertainity factor of 1.12</t>
  </si>
  <si>
    <t>[CLICK TO ADD SLUDGE TREATMENT SYSTEM]</t>
  </si>
  <si>
    <t>Sl,PJ,y</t>
  </si>
  <si>
    <t>What is the amount of dry matter in the sludge treated by the sludge treatment system l in year y in the project scenario (t)?</t>
  </si>
  <si>
    <t>MCFs,treatment,l</t>
  </si>
  <si>
    <t>What is the Methane correction factor for for the project sludge treatment system l?</t>
  </si>
  <si>
    <t>Model correction factor to account for model uncertainties</t>
  </si>
  <si>
    <t>What is the amount of dry matter in the sludge treated by the sludge treatment system lI in year y in the project scenario (t)?</t>
  </si>
  <si>
    <t>What is the Methane correction factor for for the project sludge treatment system lI?</t>
  </si>
  <si>
    <t>PEww,discharge,y</t>
  </si>
  <si>
    <t>What are the methane emissions from degradable organic carbon in treated wastewater discharged in year y (tCO2e)?</t>
  </si>
  <si>
    <t>Equation 6, Use a uncertainity factor of 1.12</t>
  </si>
  <si>
    <t>CODww,discharge,PJ,y</t>
  </si>
  <si>
    <t>What is chemical oxygen demand of the treated wastewater
discharged into the sea, river or lake in the project scenario in year y (t/m3)</t>
  </si>
  <si>
    <t>MCFww,PJ,discharge</t>
  </si>
  <si>
    <t>What is methane correction factor based on the discharge
pathway of the wastewater in the project scenario
(e.g. into sea, river or lake)?</t>
  </si>
  <si>
    <t>If yes, PEs,final,y below will be calculated, else set to 0.</t>
  </si>
  <si>
    <t>PEs,final,y</t>
  </si>
  <si>
    <t>What are the methane emissions from anaerobic decay of the final sludge produced in year y (tCO2e)?</t>
  </si>
  <si>
    <t>Equation 7 (Use uncertainty factor of 1.12)</t>
  </si>
  <si>
    <t>MCFs,PJ,final</t>
  </si>
  <si>
    <t>Methane correction factor of the disposal site that receives the final sludge in the project situation</t>
  </si>
  <si>
    <t>Sfinal,PJ,y</t>
  </si>
  <si>
    <t>What is the Amount of dry matter in final sludge generated by the project wastewater treatment systems in the year y (t)?</t>
  </si>
  <si>
    <t>PEbiomass,y</t>
  </si>
  <si>
    <t>What are the methane emissions from biomass stored under anaerobic conditions in year y (tCO2e)?</t>
  </si>
  <si>
    <t>Emissions from solid waste disposal sites (Tool)</t>
  </si>
  <si>
    <t>PEflaring,y</t>
  </si>
  <si>
    <t>What are the methane emissions due to incomplete flaring in year y (tCO2e)?</t>
  </si>
  <si>
    <t>Tool "Project Emissions from Flaring"</t>
  </si>
  <si>
    <t>PEfugitive,y</t>
  </si>
  <si>
    <t>What are the methane emissions from biogas release in capture systems in year y (tCO2e)?</t>
  </si>
  <si>
    <t>Equation 9</t>
  </si>
  <si>
    <t>What is the amount of sludge treated in project system l equipped with biogas recovery in year y (t)?</t>
  </si>
  <si>
    <t>MCFs,treatment,PJ,l</t>
  </si>
  <si>
    <t>What is the methane correction factor for the sludge treatment system l equipped with biogas recovery?</t>
  </si>
  <si>
    <t>PEfugitive,ww,y</t>
  </si>
  <si>
    <t>What are the fugitive emissions through capture inefficiencies in the anaerobic wastewater treatment systems in year y (tCO2e)?</t>
  </si>
  <si>
    <t>Equation 10</t>
  </si>
  <si>
    <t>CFEww</t>
  </si>
  <si>
    <t>What is the capture efficiency of the biogas recovery equipment in the wastewater treatment systems?</t>
  </si>
  <si>
    <t>MEPww,treatment,y</t>
  </si>
  <si>
    <t>What is the methane emission potential of wastewater treatment systems equipped with biogas recovery system in year y (t)?</t>
  </si>
  <si>
    <t>Equation 11</t>
  </si>
  <si>
    <t>Qww,y</t>
  </si>
  <si>
    <t>What is the volume of wastewater treated in the project activity equipped with biogas recovery in year y (m3)?</t>
  </si>
  <si>
    <t>Bo,ww</t>
  </si>
  <si>
    <t>What is the methane producing capacity of the wastewater (IPCC value of 0.25 kg CH4/kg COD)?</t>
  </si>
  <si>
    <t>UFPJ</t>
  </si>
  <si>
    <t>What is the model correction factor to account for model uncertainties?</t>
  </si>
  <si>
    <t>What is the chemical oxygen demand removed by treatment system k equipped with biogas recovery in year y (t/m3)?</t>
  </si>
  <si>
    <t>What is the methane correction factor for treatment system k equipped with biogas recovery?</t>
  </si>
  <si>
    <t>Table 2</t>
  </si>
  <si>
    <t>PEfugitive,s,y</t>
  </si>
  <si>
    <t>What are the fugitive emissions through capture inefficiencies in the anaerobic sludge treatment systems in year y (tCO2e)?</t>
  </si>
  <si>
    <t>Equation 12</t>
  </si>
  <si>
    <t>CFEs</t>
  </si>
  <si>
    <t>What is the capture efficiency of the biogas recovery equipment in the sludge treatment systems?</t>
  </si>
  <si>
    <t>GWPCH4</t>
  </si>
  <si>
    <t>MEPs,treatment,y</t>
  </si>
  <si>
    <t>What is the methane emission potential of the sludge treatment systems equipped with biogas recovery in year y (t)?</t>
  </si>
  <si>
    <t>Equation 13</t>
  </si>
  <si>
    <t>What is the amount of sludge treated in system l equipped with biogas recovery in year y (t)?</t>
  </si>
  <si>
    <t>DOCs</t>
  </si>
  <si>
    <t>What is the degradable organic content of the untreated sludge generated in year y (fraction)?</t>
  </si>
  <si>
    <t>DOCF</t>
  </si>
  <si>
    <t>What is the fraction of DOC dissimilated to biogas (IPCC default 0.5)?</t>
  </si>
  <si>
    <t>What is the fraction of CH4 in biogas (IPCC default 0.5)?</t>
  </si>
  <si>
    <t>Leakage Emissions</t>
  </si>
  <si>
    <t>Is the technology is using equipment transferred from another activity?</t>
  </si>
  <si>
    <t>If yes, LEy needs to be entered</t>
  </si>
  <si>
    <t>LEy</t>
  </si>
  <si>
    <t>Specify leakage emissions (in tCO2e). If the technology is using equipment transferred from another activity, leakage at the facility has to be considered.</t>
  </si>
  <si>
    <t>Emission Reductions</t>
  </si>
  <si>
    <t>Which of the following measure are you using to recover biogas and it's subsequent processing?
Review paragraph 2 of methodology.
2a. Substitution of aerobic wastewater or sludge treatment systems with anaerobic systems with biogas recovery and combustion
2b. Introduction of anaerobic sludge treatment system with biogas recovery and combustion to a wastewater treatment plant without sludge treatment
2c. Introduction of biogas recovery and combustion to a sludge treatment system
2d. Introduction of biogas recovery and combustion to an anaerobic wastewater treatment system such as anaerobic reactor, lagoon, septic tank or an on-site industrial plant
2e. Introduction of anaerobic wastewater treatment with biogas recovery and combustion, with or without anaerobic sludge treatment, to an untreated wastewater stream
2f. Introduction of a sequential stage of wastewater treatment with biogas recovery and combustion, with or without sludge treatment, to an anaerobic wastewater treatment system without biogas recovery</t>
  </si>
  <si>
    <t>Introduction of anaerobic sludge treatment system with biogas recovery and combustion to a wastewater treatment plant without sludge treatment</t>
  </si>
  <si>
    <t>For all scenarios</t>
  </si>
  <si>
    <t>ImpactClaim.quantity</t>
  </si>
  <si>
    <t>ERy,ex ante</t>
  </si>
  <si>
    <t>What are the ex ante emission reductions estimated?</t>
  </si>
  <si>
    <t>Equation 14</t>
  </si>
  <si>
    <t>ImpactClaimCheckpoint.efBefore</t>
  </si>
  <si>
    <t>BEy,ex ante</t>
  </si>
  <si>
    <t>What are the ex ante baseline emissions estimated?</t>
  </si>
  <si>
    <t>ImpactClaimCheckpoint.efAfter</t>
  </si>
  <si>
    <t>PEy,ex ante</t>
  </si>
  <si>
    <t>What are the ex ante project emissions estimated?</t>
  </si>
  <si>
    <t>LEy,ex ante</t>
  </si>
  <si>
    <t>What are the ex ante leakage emissions estimated?</t>
  </si>
  <si>
    <t>If Scenario 2a and 2e</t>
  </si>
  <si>
    <t>ERy</t>
  </si>
  <si>
    <t>What are the total emission reductions in year y?</t>
  </si>
  <si>
    <t>Equation 17</t>
  </si>
  <si>
    <t>BEy,ex post</t>
  </si>
  <si>
    <t>What are the ex post baseline emissions in year y?</t>
  </si>
  <si>
    <t>Equations 1-7</t>
  </si>
  <si>
    <t>PEy,ex post</t>
  </si>
  <si>
    <t>What are the ex post project emissions in year y?</t>
  </si>
  <si>
    <t>Equation 5</t>
  </si>
  <si>
    <t>LEy,ex post</t>
  </si>
  <si>
    <t>What are the ex post leakage emissions in year y?</t>
  </si>
  <si>
    <t>If Scenario 2b, 2c, 2d or 2f</t>
  </si>
  <si>
    <t>ERy, ex post</t>
  </si>
  <si>
    <t>Equation 15</t>
  </si>
  <si>
    <t>MDy</t>
  </si>
  <si>
    <t>What is the methane captured and destroyed/used in year y?</t>
  </si>
  <si>
    <t>Equation 16</t>
  </si>
  <si>
    <t>BGburnt,y</t>
  </si>
  <si>
    <t>What is the biogas volume flared/combusted in year y (m3)?</t>
  </si>
  <si>
    <t>wCH4,y</t>
  </si>
  <si>
    <t>What is the methane content of the biogas in year y in volume fraction?</t>
  </si>
  <si>
    <t>FE</t>
  </si>
  <si>
    <t>What is the flare efficiency in year y in fraction?</t>
  </si>
  <si>
    <t>"Project emissions from flaring tool"</t>
  </si>
  <si>
    <t>DCH4</t>
  </si>
  <si>
    <t>What is the density of methane at the temperature and pressure of the biogas in the year y (t/m3)</t>
  </si>
  <si>
    <t>Multiple Answers</t>
  </si>
  <si>
    <t xml:space="preserve">Tool 03: Tool to calculate project or leakage CO2 emissions from fossil fuel combustion </t>
  </si>
  <si>
    <t>Auto-Calculated</t>
  </si>
  <si>
    <r>
      <rPr>
        <sz val="18"/>
        <color rgb="FF000000"/>
        <rFont val="Calibri"/>
        <family val="2"/>
        <scheme val="minor"/>
      </rPr>
      <t>PE</t>
    </r>
    <r>
      <rPr>
        <vertAlign val="subscript"/>
        <sz val="18"/>
        <color rgb="FF000000"/>
        <rFont val="Calibri"/>
        <family val="2"/>
        <scheme val="minor"/>
      </rPr>
      <t xml:space="preserve">FC,j,y </t>
    </r>
  </si>
  <si>
    <t>Total CO2 emissions from fossil fuel combustion in process j during the year y (tCO2/yr) (From all Cases)</t>
  </si>
  <si>
    <t>Sum of emissions from all cases added.</t>
  </si>
  <si>
    <t>Case 1: Questionnaire to determine calculation method 
[Click to add project or leakage CO2 emissions from fossil fuel combustion based on fuel type]</t>
  </si>
  <si>
    <t>𝑖</t>
  </si>
  <si>
    <t>What fuel types are combusted in the project activity process?</t>
  </si>
  <si>
    <t>Natural gas</t>
  </si>
  <si>
    <t>Specify which combustion process this tool is being applied to</t>
  </si>
  <si>
    <t>Anaerobic digester</t>
  </si>
  <si>
    <t>If/then</t>
  </si>
  <si>
    <t xml:space="preserve">What approach would you like to use to calculate the CO2 emission coefficient? </t>
  </si>
  <si>
    <t>Option A</t>
  </si>
  <si>
    <r>
      <rPr>
        <b/>
        <u/>
        <sz val="11"/>
        <color rgb="FF000000"/>
        <rFont val="Calibri"/>
        <family val="2"/>
        <scheme val="minor"/>
      </rPr>
      <t>Option A:</t>
    </r>
    <r>
      <rPr>
        <sz val="11"/>
        <color rgb="FF000000"/>
        <rFont val="Calibri"/>
        <family val="2"/>
        <scheme val="minor"/>
      </rPr>
      <t xml:space="preserve"> The CO2 emission coefficient is calculated based on the chemical composition of the fossil fuel type. (Option A should be the preferred approach, if the necessary data is available.)
</t>
    </r>
    <r>
      <rPr>
        <b/>
        <u/>
        <sz val="11"/>
        <color rgb="FF000000"/>
        <rFont val="Calibri"/>
        <family val="2"/>
        <scheme val="minor"/>
      </rPr>
      <t>Option B:</t>
    </r>
    <r>
      <rPr>
        <sz val="11"/>
        <color rgb="FF000000"/>
        <rFont val="Calibri"/>
        <family val="2"/>
        <scheme val="minor"/>
      </rPr>
      <t xml:space="preserve"> The CO2 emission coefficient is calculated based on net calorific value and CO2 emission factor of the fuel type. 
</t>
    </r>
  </si>
  <si>
    <t>Is the fuel used measused in a mass or volume unit?</t>
  </si>
  <si>
    <t>Mass</t>
  </si>
  <si>
    <t>Mass or Volume (if Mass is selected then cell F13 should be used, if Volume is selected then cell F14 should be used. Note: Only relavent if Option A is seleted)</t>
  </si>
  <si>
    <t>Emissions</t>
  </si>
  <si>
    <r>
      <t>PE</t>
    </r>
    <r>
      <rPr>
        <vertAlign val="subscript"/>
        <sz val="18"/>
        <color theme="1"/>
        <rFont val="Calibri"/>
        <family val="2"/>
        <scheme val="minor"/>
      </rPr>
      <t xml:space="preserve">FC,j,y </t>
    </r>
  </si>
  <si>
    <t>CO2 emissions from fossil fuel combustion in process j during the year y (tCO2/yr)</t>
  </si>
  <si>
    <r>
      <t>FC</t>
    </r>
    <r>
      <rPr>
        <vertAlign val="subscript"/>
        <sz val="18"/>
        <color theme="1"/>
        <rFont val="Calibri"/>
        <family val="2"/>
        <scheme val="minor"/>
      </rPr>
      <t>i,j,y</t>
    </r>
  </si>
  <si>
    <t>Quantity of fuel type i combusted in process j during the year y (mass or volume unit/yr)</t>
  </si>
  <si>
    <r>
      <t>COEF</t>
    </r>
    <r>
      <rPr>
        <vertAlign val="subscript"/>
        <sz val="18"/>
        <color theme="1"/>
        <rFont val="Calibri"/>
        <family val="2"/>
        <scheme val="minor"/>
      </rPr>
      <t>i,y</t>
    </r>
  </si>
  <si>
    <t>CO2 emission coefficient of fuel type i in year y (tCO2/mass or volume unit)</t>
  </si>
  <si>
    <t xml:space="preserve">This value will come from cell G14, G15, or G19 depending on the responses from the questionnaire </t>
  </si>
  <si>
    <r>
      <t>The CO2 emission coefficient COEFi,</t>
    </r>
    <r>
      <rPr>
        <i/>
        <sz val="16"/>
        <color rgb="FF000000"/>
        <rFont val="Calibri"/>
        <family val="2"/>
        <scheme val="minor"/>
      </rPr>
      <t xml:space="preserve">y </t>
    </r>
    <r>
      <rPr>
        <b/>
        <sz val="16"/>
        <color rgb="FF000000"/>
        <rFont val="Calibri"/>
        <family val="2"/>
        <scheme val="minor"/>
      </rPr>
      <t>Option A</t>
    </r>
  </si>
  <si>
    <t>CO2 emission coefficient of fuel type i in year y (tCO2/Mass Unit)</t>
  </si>
  <si>
    <t>If Mass Unit</t>
  </si>
  <si>
    <t>CO2 emission coefficient of fuel type i in year y (tCO2/Volume Unit)</t>
  </si>
  <si>
    <t>If Volume Unit</t>
  </si>
  <si>
    <r>
      <t>w</t>
    </r>
    <r>
      <rPr>
        <vertAlign val="subscript"/>
        <sz val="18"/>
        <color theme="1"/>
        <rFont val="Calibri"/>
        <family val="2"/>
        <scheme val="minor"/>
      </rPr>
      <t>c,i,y</t>
    </r>
  </si>
  <si>
    <t>Weighted average mass fraction of carbon in fuel type i in year y (tC/mass unit of the fuel)</t>
  </si>
  <si>
    <r>
      <t>P</t>
    </r>
    <r>
      <rPr>
        <vertAlign val="subscript"/>
        <sz val="18"/>
        <color theme="1"/>
        <rFont val="Calibri"/>
        <family val="2"/>
        <scheme val="minor"/>
      </rPr>
      <t>i,y</t>
    </r>
  </si>
  <si>
    <t>Weighted average density of fuel type i in year y (mass unit/volume unit of the fuel)</t>
  </si>
  <si>
    <t>The CO2 emission coefficient COEFi,y Option B</t>
  </si>
  <si>
    <r>
      <t>NCV</t>
    </r>
    <r>
      <rPr>
        <vertAlign val="subscript"/>
        <sz val="18"/>
        <color theme="1"/>
        <rFont val="Calibri"/>
        <family val="2"/>
        <scheme val="minor"/>
      </rPr>
      <t>i,y</t>
    </r>
  </si>
  <si>
    <t>Weighted average net calorific value of the fuel type i in year y (GJ/mass or volume unit)</t>
  </si>
  <si>
    <r>
      <t>EF</t>
    </r>
    <r>
      <rPr>
        <vertAlign val="subscript"/>
        <sz val="18"/>
        <color theme="1"/>
        <rFont val="Calibri"/>
        <family val="2"/>
        <scheme val="minor"/>
      </rPr>
      <t>CO2,y,y</t>
    </r>
  </si>
  <si>
    <t>Weighted average CO2 emission factor of fuel type i in year y (tCO2/GJ)</t>
  </si>
  <si>
    <t>Case 2: Questionnaire to determine calculation method 
[Click to add project or leakage CO2 emissions from fossil fuel combustion based on fuel type]</t>
  </si>
  <si>
    <t>Option B</t>
  </si>
  <si>
    <t>Volume</t>
  </si>
  <si>
    <t xml:space="preserve">This value will come from cell G32, G33, or G37 depending on the responses from the questionnaire </t>
  </si>
  <si>
    <t>Required</t>
  </si>
  <si>
    <t xml:space="preserve">Questionnaire </t>
  </si>
  <si>
    <t xml:space="preserve">To which emission category is the tool being applied? </t>
  </si>
  <si>
    <t>Baseline Emissions (BE)</t>
  </si>
  <si>
    <t>Select one</t>
  </si>
  <si>
    <t xml:space="preserve">Will the project be implementing Application A or Application B? </t>
  </si>
  <si>
    <t>Application A</t>
  </si>
  <si>
    <t xml:space="preserve">Application A: The CDM project activity mitigates methane emissions from a specific existing SWDS. Methane emissions are mitigated by capturing and flaring or combusting the methane (e.g. “ACM0001: Flaring or use of landfill gas”). The methane is generated from waste disposed in the past, including prior to the start of the CDM project activity. In these cases, the tool is only applied for an ex ante estimation of emissions in the project design document (CDM-PDD). The emissions will then be monitored during the crediting period using the applicable approaches in the relevant methodologies (e.g. measuring the amount of methane captured from the SWDS). 
Application B: The CDM project activity avoids or involves the disposal of waste at a SWDS. An example of this application of the tool is ACM0022, in which municipal solid waste (MSW) is treated with an alternative option, such as composting or anaerobic digestion, and is then prevented from being disposed of in a SWDS. The methane is generated from waste disposed or avoided from disposal during the crediting period. In these cases, the tool can be applied for both ex ante and ex post estimation of emissions. These project activities may apply the simplified approach detailed in 0 when calculating baseline emissions. </t>
  </si>
  <si>
    <t xml:space="preserve">Is methane captured (e.g. due to safety regulations) and flared, combusted or used in another manner that prevents emissions of methane to the atmosphere? </t>
  </si>
  <si>
    <t xml:space="preserve">Is the tool being applied to MSW? </t>
  </si>
  <si>
    <t xml:space="preserve">Is the tool being applied to residual waste? </t>
  </si>
  <si>
    <t>For the baseline model correction factor (parameter φy), will you use a default value (option 1) or a project specific value estimated yearly (option 2)?</t>
  </si>
  <si>
    <t>Option 1 (Default)</t>
  </si>
  <si>
    <t>Please indicate the climate conditions of the SWDS</t>
  </si>
  <si>
    <t>Humid/wet conditions</t>
  </si>
  <si>
    <t>Please indicate the climate type of the SWDS</t>
  </si>
  <si>
    <t>Tropical</t>
  </si>
  <si>
    <t xml:space="preserve">Is the solid waste weighed using accurate weighbridges or estimated, such as from the depth and surface area of
an existing SWDS? </t>
  </si>
  <si>
    <t>Estimated</t>
  </si>
  <si>
    <t>Is more than 50 percent of the waste rapidly degradable organic material?</t>
  </si>
  <si>
    <t xml:space="preserve">Is the SWDS is located in a tropical climate? </t>
  </si>
  <si>
    <t xml:space="preserve">Is the SWDS managed or unmanaged? </t>
  </si>
  <si>
    <t>Managed</t>
  </si>
  <si>
    <t xml:space="preserve">Is residual waste is disposed at the SWDS? </t>
  </si>
  <si>
    <t xml:space="preserve">Were the SWDS compartments where the project is implemented closed less than three years ago? </t>
  </si>
  <si>
    <t>For the fraction of DOC that decomposes in the SWDS (DOCf), will you use a default factor or measure a project specific value?</t>
  </si>
  <si>
    <t>Measure</t>
  </si>
  <si>
    <t xml:space="preserve">Does the SWDS have a water table above the bottom of the SWDS? </t>
  </si>
  <si>
    <t xml:space="preserve">Select the applicable SWDS condition </t>
  </si>
  <si>
    <t>Unmanaged solid waste disposal sites – deep</t>
  </si>
  <si>
    <t>For the methane correction factor (DOCj), will you use a default factor or measure/calculate a project specific value?</t>
  </si>
  <si>
    <t>Default</t>
  </si>
  <si>
    <t xml:space="preserve">For industrial sludge, either a value of 9 per cent (% wet sludge) may be used as a default, assuming an organic dry matter content of 35 percent, or alternatively, if the percentage of organic dry matter content is known, then the DOC value may be calculated as follows: DOCj (% wet sludge) = 9 * (% organic dry matter content/35); 
For domestic sludge, either a value of 5 per cent (% wet sludge) may be used as a default, assuming an organic dry matter content of 10 per cent, or alternatively, if the percentage of organic dry matter content is known, then the DOC value may be calculated as follows: DOCj (% wet sludge) = 5 * (% organic dry matter content/10). 
If a waste type is not comparable to </t>
  </si>
  <si>
    <t>Select the applicable waste type (j)</t>
  </si>
  <si>
    <t>Pulp, paper and cardboard (other than sludge)</t>
  </si>
  <si>
    <t>If waste type (j) = "other", please specify</t>
  </si>
  <si>
    <t xml:space="preserve">Does the SWDS have only one type of waste disposed (for example, in the case of a residual waste)? </t>
  </si>
  <si>
    <t>Determining the baseline model correction factor (φy)</t>
  </si>
  <si>
    <t>Option 1: Default</t>
  </si>
  <si>
    <t>φdefault; Model correction factor to account for model uncertainties for year y</t>
  </si>
  <si>
    <t>Auto-calculate</t>
  </si>
  <si>
    <t>Option 2: Uncertainty Analysis</t>
  </si>
  <si>
    <t>a (W)</t>
  </si>
  <si>
    <t>b (DOCj)</t>
  </si>
  <si>
    <t>c (DOCf)</t>
  </si>
  <si>
    <t>d (F)</t>
  </si>
  <si>
    <t>e (MCFy)</t>
  </si>
  <si>
    <r>
      <t>g [e</t>
    </r>
    <r>
      <rPr>
        <vertAlign val="superscript"/>
        <sz val="11"/>
        <color theme="1"/>
        <rFont val="Calibri"/>
        <family val="2"/>
        <scheme val="minor"/>
      </rPr>
      <t>−𝑘𝑗×(𝑦−𝑥)</t>
    </r>
    <r>
      <rPr>
        <sz val="11"/>
        <color theme="1"/>
        <rFont val="Calibri"/>
        <family val="2"/>
        <scheme val="minor"/>
      </rPr>
      <t xml:space="preserve"> × (1 − e</t>
    </r>
    <r>
      <rPr>
        <vertAlign val="superscript"/>
        <sz val="11"/>
        <color theme="1"/>
        <rFont val="Calibri"/>
        <family val="2"/>
        <scheme val="minor"/>
      </rPr>
      <t>−𝑘𝑗</t>
    </r>
    <r>
      <rPr>
        <sz val="11"/>
        <color theme="1"/>
        <rFont val="Calibri"/>
        <family val="2"/>
        <scheme val="minor"/>
      </rPr>
      <t>)]</t>
    </r>
  </si>
  <si>
    <t>Vy</t>
  </si>
  <si>
    <t>Overall uncertainty of the determination of methane generation in year y</t>
  </si>
  <si>
    <t>𝜑y</t>
  </si>
  <si>
    <t>Model correction factor to account for model uncertainties for year y</t>
  </si>
  <si>
    <t>Determining the amounts of waste types j disposed in the SWDS (Wj,x or Wj,i)</t>
  </si>
  <si>
    <t xml:space="preserve">Wj,x </t>
  </si>
  <si>
    <t xml:space="preserve">Wj,x or Wj,i calculated based on information from the SWDS owner and administration and from interviews with senior employees. </t>
  </si>
  <si>
    <t>Application B</t>
  </si>
  <si>
    <t>Pn,j,x</t>
  </si>
  <si>
    <t>Fraction of the waste type j in the sample n collected during the year x (weight fraction)</t>
  </si>
  <si>
    <t xml:space="preserve">[Click to add sample] </t>
  </si>
  <si>
    <t>Zx</t>
  </si>
  <si>
    <t>Number of samples collected during the year x</t>
  </si>
  <si>
    <t>𝑊x</t>
  </si>
  <si>
    <t>Total amount of solid waste disposed or prevented from disposal in the SWDS in year x (t)</t>
  </si>
  <si>
    <t>P𝑗,x</t>
  </si>
  <si>
    <t>Average fraction of the waste type j in the waste in year x (weight fraction)</t>
  </si>
  <si>
    <t>𝑊𝑗,𝑥</t>
  </si>
  <si>
    <t>Amount of solid waste type j disposed or prevented from disposal in the SWDS in the year x (t)</t>
  </si>
  <si>
    <t>Determining the fraction of DOC that decomposes in the SWDS (DOCf,y)</t>
  </si>
  <si>
    <t>DOCf,default</t>
  </si>
  <si>
    <t xml:space="preserve">Fraction of degradable organic carbon (DOC) that decomposes under the specific conditions occurring in the SWDS for year y (weight fraction) </t>
  </si>
  <si>
    <t>Measurement (MSW)</t>
  </si>
  <si>
    <t>BMPmsw</t>
  </si>
  <si>
    <t>Biochemical methane potential for the MSW disposed or prevented from disposal (t CH4/t waste)</t>
  </si>
  <si>
    <t>Fraction of methane in the SWDS gas (volume fraction)</t>
  </si>
  <si>
    <t>Pj,y</t>
  </si>
  <si>
    <t>Average fraction of the waste type j in the waste in year y (weight fraction)</t>
  </si>
  <si>
    <t>DOC,j</t>
  </si>
  <si>
    <t>Fraction of degradable organic carbon in the waste type j (weight fraction)</t>
  </si>
  <si>
    <t>𝐷𝑂𝐶𝑓,y</t>
  </si>
  <si>
    <t>Measurement (Residual Waste)</t>
  </si>
  <si>
    <t>BMPj</t>
  </si>
  <si>
    <t>Biochemical methane potential for the residual waste type j disposed or prevented from disposal (t CH4/t waste)</t>
  </si>
  <si>
    <t>Determining the methane correction factor (MCFy)</t>
  </si>
  <si>
    <t>MCFdefault</t>
  </si>
  <si>
    <t>Methane correction factor for year y</t>
  </si>
  <si>
    <t>Calculated</t>
  </si>
  <si>
    <t>ℎ𝑤,y</t>
  </si>
  <si>
    <t>Height of water table Measure from the base of the SWDS (m)</t>
  </si>
  <si>
    <t>dy</t>
  </si>
  <si>
    <t>Depth of SWDS (m)</t>
  </si>
  <si>
    <t>𝑀𝐶𝐹y</t>
  </si>
  <si>
    <t>Determining the methane correction factor (DOCj)</t>
  </si>
  <si>
    <t>𝐷𝑂𝐶𝑗,default</t>
  </si>
  <si>
    <t>Measurement/Calculate</t>
  </si>
  <si>
    <t>𝐷𝑂𝐶𝑗</t>
  </si>
  <si>
    <t>Baseline (BE), Project (PE), or Leakage (LE) Methane Emissions from SWDS</t>
  </si>
  <si>
    <t>X</t>
  </si>
  <si>
    <t>Years in the time period in which waste is disposed at the SWDS, extending from the first year in the time period (x = 1) to year y (x = y)</t>
  </si>
  <si>
    <t>y</t>
  </si>
  <si>
    <t>Year of the crediting period for which methane emissions are calculated (y is a consecutive period of 12 months)</t>
  </si>
  <si>
    <t>𝑊𝑗,x</t>
  </si>
  <si>
    <t>𝑓,y</t>
  </si>
  <si>
    <t>Fraction of methane captured at the SWDS and flared, combusted or used in another manner that prevents the emissions of methane to the atmosphere in year y</t>
  </si>
  <si>
    <t>Global Warming Potential of methane</t>
  </si>
  <si>
    <t>Fixed Default</t>
  </si>
  <si>
    <t>𝑂X</t>
  </si>
  <si>
    <t>Oxidation factor (reflecting the amount of methane from SWDS that is oxidized in the soil or other material covering the waste)</t>
  </si>
  <si>
    <t>𝑀𝐶𝐹𝑦</t>
  </si>
  <si>
    <t>k</t>
  </si>
  <si>
    <t>Decay rate for the waste type j (1 / yr)</t>
  </si>
  <si>
    <t>If a waste type disposed in a SWDS cannot clearly be attributed to one
of the waste types in table 7, project participants should
choose, among the waste types that have similar characteristics, the
waste type where the values of DOCj and kj result in a conservative
estimate (lowest emissions), or request a revision of/deviation from this
methodology.</t>
  </si>
  <si>
    <t>j</t>
  </si>
  <si>
    <t xml:space="preserve">Type of residual waste or types of waste in the MSW </t>
  </si>
  <si>
    <t>[𝐵𝐸,PE,LE] 𝐶𝐻4,𝑆𝑊𝐷𝑆,y</t>
  </si>
  <si>
    <t>[Baseline, Project, or Leakage] Methane emissions occurring in year y generated from waste disposal at a SWDS during a time period ending in year y (t CO2e/yr)</t>
  </si>
  <si>
    <t>[Click to add SWDS emission calculation]</t>
  </si>
  <si>
    <t xml:space="preserve">Add a new calculation/instance of this tool for the baseline, project, and leakage emissions. For each of the above, add another instance for each waste type (j), and year (y). Sum the waste types and years to get the totals for baseline, project, and leakage emissions (see summary tab). </t>
  </si>
  <si>
    <t>Emissions Category</t>
  </si>
  <si>
    <t>Application</t>
  </si>
  <si>
    <t>Calculation Frequency</t>
  </si>
  <si>
    <t>Binary</t>
  </si>
  <si>
    <t>Model correction factor (φy)</t>
  </si>
  <si>
    <t>Methane correction factor (DOCj)</t>
  </si>
  <si>
    <t>Climate Conditions</t>
  </si>
  <si>
    <t>Climate Type</t>
  </si>
  <si>
    <t>Waste Types (j)</t>
  </si>
  <si>
    <t xml:space="preserve">Yearly </t>
  </si>
  <si>
    <t>Boreal and Temperate</t>
  </si>
  <si>
    <t>Wood and wood products</t>
  </si>
  <si>
    <t>Weighed</t>
  </si>
  <si>
    <t>Anaerobic managed solid waste disposal sites</t>
  </si>
  <si>
    <t>Project Emissions (PE)</t>
  </si>
  <si>
    <t>Monthly</t>
  </si>
  <si>
    <t>Option 2 (Estimated)</t>
  </si>
  <si>
    <t>Dry conditions</t>
  </si>
  <si>
    <t>Unmanaged</t>
  </si>
  <si>
    <t>Semi-aerobic managed solid waste disposal sites</t>
  </si>
  <si>
    <t>Leakage Emissions (LE)</t>
  </si>
  <si>
    <t>Food, food waste, beverages and tobacco (other than sludge)</t>
  </si>
  <si>
    <t>Textiles</t>
  </si>
  <si>
    <t>Unmanaged-shallow solid waste disposal sites or stockpiles that are considered SWDS</t>
  </si>
  <si>
    <t>Garden, yard and park waste</t>
  </si>
  <si>
    <t>Glass, plastic, metal, other inert waste</t>
  </si>
  <si>
    <t>Empty fruit brunches (EFB)</t>
  </si>
  <si>
    <t>Industrial sludge</t>
  </si>
  <si>
    <t>Domestic sludge</t>
  </si>
  <si>
    <t>Other</t>
  </si>
  <si>
    <t xml:space="preserve">Tool 05: Baseline, project and/or leakage emissions from electricity consumption and monitoring of electricity generation </t>
  </si>
  <si>
    <t xml:space="preserve">Questionnaire to determine calculation method </t>
  </si>
  <si>
    <t xml:space="preserve">
Tool 05 is only applicable to the following scenarios, please select the appropriate one for your project:
Scenario A: Electricity consumption from the grid
Scenario B: Electricity consumption from (an) off-grid fossil fuel fired captive power plant(s)
Scenario C: Electricity consumption from the grid and (a) fossil fuel fired captive power plant(s)</t>
  </si>
  <si>
    <t>B: Off-Grid Captive Power Plants</t>
  </si>
  <si>
    <r>
      <rPr>
        <b/>
        <sz val="12"/>
        <color rgb="FF000000"/>
        <rFont val="Calibri"/>
        <family val="2"/>
        <scheme val="minor"/>
      </rPr>
      <t xml:space="preserve">Scenario A: </t>
    </r>
    <r>
      <rPr>
        <sz val="12"/>
        <color rgb="FF000000"/>
        <rFont val="Calibri"/>
        <family val="2"/>
        <scheme val="minor"/>
      </rPr>
      <t xml:space="preserve">Electricity consumption from the grid. The electricity is purchased from the grid only, and either no captive power plant(s) is/are installed at the site of electricity consumption or, if any captive power plant exists on site, it is either not operating or it is not physically able to provide electricity to the electricity consumer. 
</t>
    </r>
    <r>
      <rPr>
        <b/>
        <sz val="12"/>
        <color rgb="FF000000"/>
        <rFont val="Calibri"/>
        <family val="2"/>
        <scheme val="minor"/>
      </rPr>
      <t xml:space="preserve">Scenario B: </t>
    </r>
    <r>
      <rPr>
        <sz val="12"/>
        <color rgb="FF000000"/>
        <rFont val="Calibri"/>
        <family val="2"/>
        <scheme val="minor"/>
      </rPr>
      <t xml:space="preserve">Electricity consumption from (an) off-grid fossil fuel fired captive power plant(s). One or more fossil fuel fired captive power plants are installed at the site of the electricity consumer and supply the consumer with electricity. The captive power plant(s) is/are not connected to the electricity grid. 
</t>
    </r>
    <r>
      <rPr>
        <b/>
        <sz val="12"/>
        <color rgb="FF000000"/>
        <rFont val="Calibri"/>
        <family val="2"/>
        <scheme val="minor"/>
      </rPr>
      <t>Scenario C:</t>
    </r>
    <r>
      <rPr>
        <sz val="12"/>
        <color rgb="FF000000"/>
        <rFont val="Calibri"/>
        <family val="2"/>
        <scheme val="minor"/>
      </rPr>
      <t xml:space="preserve"> Electricity consumption from the grid and (a) fossil fuel fired captive power plant(s). One or more fossil fuel fired captive power plants operate at the site of the electricity consumer. The captive power plant(s) can provide electricity to the electricity consumer. The captive power plant(s) is/are also connected to the electricity grid. Hence, the electricity consumer can be provided with electricity from the captive power plant(s) and the grid.</t>
    </r>
  </si>
  <si>
    <t>Generic approach</t>
  </si>
  <si>
    <r>
      <t>PE</t>
    </r>
    <r>
      <rPr>
        <vertAlign val="subscript"/>
        <sz val="18"/>
        <color theme="1"/>
        <rFont val="Calibri"/>
        <family val="2"/>
        <scheme val="minor"/>
      </rPr>
      <t>EC,y</t>
    </r>
  </si>
  <si>
    <t>Project emissions from electricity consumption in year y (t CO2 / yr)</t>
  </si>
  <si>
    <r>
      <t>EF</t>
    </r>
    <r>
      <rPr>
        <vertAlign val="subscript"/>
        <sz val="18"/>
        <color theme="1"/>
        <rFont val="Calibri"/>
        <family val="2"/>
        <scheme val="minor"/>
      </rPr>
      <t>EF,j,y</t>
    </r>
  </si>
  <si>
    <t>Project emission factor for electricity generation for source in year y (t CO2/MWh)</t>
  </si>
  <si>
    <t>This value comes from EFEL,j/k/l,y. Depending on the scenario and options chosen.</t>
  </si>
  <si>
    <r>
      <t>EC</t>
    </r>
    <r>
      <rPr>
        <vertAlign val="subscript"/>
        <sz val="18"/>
        <color theme="1"/>
        <rFont val="Calibri"/>
        <family val="2"/>
        <scheme val="minor"/>
      </rPr>
      <t>PJ,j,y</t>
    </r>
  </si>
  <si>
    <t>Quantity of electricity consumed by the project electricity consumption source in year y (MWh/yr)</t>
  </si>
  <si>
    <r>
      <t>TDL</t>
    </r>
    <r>
      <rPr>
        <vertAlign val="subscript"/>
        <sz val="18"/>
        <color theme="1"/>
        <rFont val="Calibri"/>
        <family val="2"/>
        <scheme val="minor"/>
      </rPr>
      <t>j,y</t>
    </r>
  </si>
  <si>
    <t>Average technical transmission and distribution losses for providing electricity to source for project in year y</t>
  </si>
  <si>
    <t>Sources of electricity consumption in the project</t>
  </si>
  <si>
    <r>
      <t>BE</t>
    </r>
    <r>
      <rPr>
        <vertAlign val="subscript"/>
        <sz val="18"/>
        <color theme="1"/>
        <rFont val="Calibri"/>
        <family val="2"/>
        <scheme val="minor"/>
      </rPr>
      <t>EC,y</t>
    </r>
  </si>
  <si>
    <t>Baseline emissions from electricity consumption in year y (t CO2 / yr)</t>
  </si>
  <si>
    <r>
      <t>EF</t>
    </r>
    <r>
      <rPr>
        <vertAlign val="subscript"/>
        <sz val="18"/>
        <color theme="1"/>
        <rFont val="Calibri"/>
        <family val="2"/>
        <scheme val="minor"/>
      </rPr>
      <t>EF,k,y</t>
    </r>
  </si>
  <si>
    <t>Baseline emission factor for electricity generation for source in year y (t CO2/MWh)</t>
  </si>
  <si>
    <r>
      <t>EC</t>
    </r>
    <r>
      <rPr>
        <vertAlign val="subscript"/>
        <sz val="18"/>
        <color theme="1"/>
        <rFont val="Calibri"/>
        <family val="2"/>
        <scheme val="minor"/>
      </rPr>
      <t>BL,k,y</t>
    </r>
  </si>
  <si>
    <t>Quantity of electricity that would be consumed by the baseline electricity consumer in year y (MWh/yr)</t>
  </si>
  <si>
    <r>
      <t>TDL</t>
    </r>
    <r>
      <rPr>
        <vertAlign val="subscript"/>
        <sz val="18"/>
        <color theme="1"/>
        <rFont val="Calibri"/>
        <family val="2"/>
        <scheme val="minor"/>
      </rPr>
      <t>k,y</t>
    </r>
  </si>
  <si>
    <t>Average technical transmission and distribution losses for providing electricity to source for baseline in year y</t>
  </si>
  <si>
    <t>Sources of electricity consumption in the baseline</t>
  </si>
  <si>
    <r>
      <t>LE</t>
    </r>
    <r>
      <rPr>
        <vertAlign val="subscript"/>
        <sz val="18"/>
        <color theme="1"/>
        <rFont val="Calibri"/>
        <family val="2"/>
        <scheme val="minor"/>
      </rPr>
      <t>EC,y</t>
    </r>
  </si>
  <si>
    <t>Leakage emissions from electricity consumption in year y (t CO2 / yr)</t>
  </si>
  <si>
    <r>
      <t>EF</t>
    </r>
    <r>
      <rPr>
        <vertAlign val="subscript"/>
        <sz val="18"/>
        <color theme="1"/>
        <rFont val="Calibri"/>
        <family val="2"/>
        <scheme val="minor"/>
      </rPr>
      <t>EF,l,y</t>
    </r>
  </si>
  <si>
    <t>Leakage emission factor for electricity generation for source in year y (t CO2/MWh)</t>
  </si>
  <si>
    <r>
      <t>EC</t>
    </r>
    <r>
      <rPr>
        <vertAlign val="subscript"/>
        <sz val="18"/>
        <color theme="1"/>
        <rFont val="Calibri"/>
        <family val="2"/>
        <scheme val="minor"/>
      </rPr>
      <t>LE,l,y</t>
    </r>
  </si>
  <si>
    <t>Net increase in electricity consumption of source in year y as a result of leakage (MWh/yr)</t>
  </si>
  <si>
    <r>
      <t>TDL</t>
    </r>
    <r>
      <rPr>
        <vertAlign val="subscript"/>
        <sz val="18"/>
        <color theme="1"/>
        <rFont val="Calibri"/>
        <family val="2"/>
        <scheme val="minor"/>
      </rPr>
      <t>l,y</t>
    </r>
  </si>
  <si>
    <t>Average technical transmission and distribution losses for providing electricity to source for leakage in year y</t>
  </si>
  <si>
    <t>l</t>
  </si>
  <si>
    <t>Leakage sources of electricity consumption</t>
  </si>
  <si>
    <t>Alternative approaches for project and/or leakage emissions (Only if chosen from Scenario B)</t>
  </si>
  <si>
    <r>
      <t>PE</t>
    </r>
    <r>
      <rPr>
        <vertAlign val="subscript"/>
        <sz val="18"/>
        <color theme="1"/>
        <rFont val="Calibri"/>
        <family val="2"/>
        <scheme val="minor"/>
      </rPr>
      <t>EC,j,y</t>
    </r>
  </si>
  <si>
    <t>Project emissions from electricity consumption by source(s) j in year y (t CO2 / yr)</t>
  </si>
  <si>
    <r>
      <t>LE</t>
    </r>
    <r>
      <rPr>
        <vertAlign val="subscript"/>
        <sz val="18"/>
        <color theme="1"/>
        <rFont val="Calibri"/>
        <family val="2"/>
        <scheme val="minor"/>
      </rPr>
      <t>EC,j,y</t>
    </r>
  </si>
  <si>
    <t>Leakage emissions from electricity consumption by source(s) l in year y (t CO2 / yr)</t>
  </si>
  <si>
    <r>
      <t>PP</t>
    </r>
    <r>
      <rPr>
        <vertAlign val="subscript"/>
        <sz val="18"/>
        <color theme="1"/>
        <rFont val="Calibri"/>
        <family val="2"/>
        <scheme val="minor"/>
      </rPr>
      <t>CP,j</t>
    </r>
  </si>
  <si>
    <t>Rated capacity of the captive power plant(s) that provide the project electricity consumption source(s) j with electricity (MW)</t>
  </si>
  <si>
    <t xml:space="preserve">Project electricity consumption sources that are supplied with power from captive power plant(s) installed at one site </t>
  </si>
  <si>
    <r>
      <t>PP</t>
    </r>
    <r>
      <rPr>
        <vertAlign val="subscript"/>
        <sz val="18"/>
        <color theme="1"/>
        <rFont val="Calibri"/>
        <family val="2"/>
        <scheme val="minor"/>
      </rPr>
      <t>CP,l</t>
    </r>
  </si>
  <si>
    <t>Rated capacity of the captive power plant(s) that provide the leakage electricity consumption source(s) l with electricity (MW)</t>
  </si>
  <si>
    <t xml:space="preserve">Leakage electricity consumption sources that are supplied with power from captive power plant(s) installed at one site </t>
  </si>
  <si>
    <t>Scenario A: Electricity consumption from the grid (Default Values)</t>
  </si>
  <si>
    <t>If scenario A was chosen:</t>
  </si>
  <si>
    <t>Scenario A has 2 options, please select the appropriate one for your project:
Option A1: Calculate the combined margin emission factor of the applicable electricity system, using the procedures in the latest approved version of the “Use Tool 7 to calculate the emission factor for an electricity system” (EFEL,j/k/l,y = EFgrid,CM,y). 
Option A2: Use conservative default values</t>
  </si>
  <si>
    <t>Option A2</t>
  </si>
  <si>
    <r>
      <rPr>
        <b/>
        <sz val="11"/>
        <color theme="1"/>
        <rFont val="Calibri"/>
        <family val="2"/>
        <scheme val="minor"/>
      </rPr>
      <t>"Option A2" Default Values</t>
    </r>
    <r>
      <rPr>
        <sz val="11"/>
        <color theme="1"/>
        <rFont val="Calibri"/>
        <family val="2"/>
        <scheme val="minor"/>
      </rPr>
      <t xml:space="preserve"> is the only option until Tool 07 is available </t>
    </r>
  </si>
  <si>
    <t>If Option A2:</t>
  </si>
  <si>
    <t>Choose which option applies to the Default Values for Scenario A:
2.1: Only to project and/or leakage electricity consumption sources but not to baseline electricity consumption sources
or 
2.2: Only to baseline electricity consumption sources but not to project or leakage electricity consumption sources</t>
  </si>
  <si>
    <t>Option 2.2</t>
  </si>
  <si>
    <t>If Option 2.2:</t>
  </si>
  <si>
    <t>Does hydro power plants constitute less than 50% of total grid generation in:
1) average of the five most recent years
or
2) based on long-term averages for hydroelectricity production</t>
  </si>
  <si>
    <t>If yes a value of 0.4 t CO2/MWh will be used for EFEL,j/k/l,y
If no a value of 0.25 t CO2/MWh will be used for EFEL,j/k/l,y</t>
  </si>
  <si>
    <r>
      <t>EF</t>
    </r>
    <r>
      <rPr>
        <vertAlign val="subscript"/>
        <sz val="20"/>
        <color theme="1"/>
        <rFont val="Calibri"/>
        <family val="2"/>
        <scheme val="minor"/>
      </rPr>
      <t>EL,j/k/l,y</t>
    </r>
  </si>
  <si>
    <t>Electricity consumption from the grid for project and leakage scenario calculations (CO2/MWh)</t>
  </si>
  <si>
    <t>If Option A1: Value must be derived from Tool 7
If Option A2.1: Use value of 1.3 t CO2/MWh
If Option A2.2: Use value of 0.25 t CO2/MWh (or value of 0.4 t CO2/MWh if yes to question above)</t>
  </si>
  <si>
    <t>Scenario B1: Electricity consumption from an off-grid captive power plant (Monitored Data)</t>
  </si>
  <si>
    <t>If Scenario B was chosen:</t>
  </si>
  <si>
    <t>Tool 05 provides 2 approaches to calculate project and /or leakage emissions, a generic approach or an alternative approach only if the project applies to the following:
(a) Scenario B (as described in Tool 5 Section 2.2, paragraph 5) applies to an electricity consumer
(b) The electricity consumer is a project or leakage source.
Please select if your project follows these and which approach you would like to use:</t>
  </si>
  <si>
    <t>No: Generic Approach</t>
  </si>
  <si>
    <t>If No: Generic Approach, use Generic Approach section using values from Scenario B
If Yes: Alternative Approach, use Alternative Approach section</t>
  </si>
  <si>
    <t>If "No: Generic Approach" was chosen:</t>
  </si>
  <si>
    <t>Please select which approach you would like to use for your Scenario B project calculations:</t>
  </si>
  <si>
    <t>Monitored Data</t>
  </si>
  <si>
    <t>If "Monitored Data" then continue to next question below
If "Default Values" then move to first question of Scenario B2 (Default Values)</t>
  </si>
  <si>
    <t>If "Monitored Data" was chosen:</t>
  </si>
  <si>
    <t>Choose which option applies to the monitored data:
A: Case where none of the captive power plants is a cogeneration plant or where the heat generation is ignored
or 
B: Case where the CO2 emission factor for electricity generation is calculated by allocating the fuel consumption between electricity and heat generation</t>
  </si>
  <si>
    <t>Heat Generation ignored</t>
  </si>
  <si>
    <t>If "Heat Generation Ignored" then use bottom EF "Heat Generation Ignored" values for Generic Approach
If "Fuel Consumption" then use bottom EF "Fuel Consumption" values for Generic Approach</t>
  </si>
  <si>
    <t>Emission factor for electricity generation for source j, k or l in year y (where the heatgeneration is ignored (t CO2/MWh)</t>
  </si>
  <si>
    <t>Sum of all "Heat generation ignored" values from Power Plants Sheet</t>
  </si>
  <si>
    <t>Emission factor for electricity generation for source j, k or l in year y (fuel consumption between electricity and heat generation) (t CO2/MWh)</t>
  </si>
  <si>
    <t>Sum of all "Fuel consumption between electricity and heat generation" values from Power Plants Sheet</t>
  </si>
  <si>
    <t>Scenario B2:  Electricity consumption from an off-grid captive power plant (Conservative Default Values)</t>
  </si>
  <si>
    <t>If "Default Values" was chosen:</t>
  </si>
  <si>
    <t>Choose which option applies to the Default Values for Scenario B:
A: Only to project and/or leakage electricity consumption sources but not to baseline electricity consumption sources
or 
B: Only to baseline electricity consumption sources but not to project or leakage electricity consumption sources</t>
  </si>
  <si>
    <t>Answer to this choice will determine which value below will be used</t>
  </si>
  <si>
    <t>Use this value if Option A was chosen</t>
  </si>
  <si>
    <t>Electricity consumption from the grid for baseline scenario calculations (CO2/MWh)</t>
  </si>
  <si>
    <t>Use this value if Option B was chosen</t>
  </si>
  <si>
    <t xml:space="preserve">Scenario C:  Electricity consumption from the grid and (a) fossil fuel fired captive power plant(s) </t>
  </si>
  <si>
    <r>
      <t xml:space="preserve">Under Scanario C the consumption of electricity in the project, the baseline or as a source of leakage may result in different emission levels, depending on the situation of the project activity. 
The following three cases can be differentiated, please select the appropriate option for your project: 
</t>
    </r>
    <r>
      <rPr>
        <b/>
        <u/>
        <sz val="11"/>
        <color theme="1"/>
        <rFont val="Calibri"/>
        <family val="2"/>
        <scheme val="minor"/>
      </rPr>
      <t xml:space="preserve">Case 1: </t>
    </r>
    <r>
      <rPr>
        <sz val="11"/>
        <color theme="1"/>
        <rFont val="Calibri"/>
        <family val="2"/>
        <scheme val="minor"/>
      </rPr>
      <t xml:space="preserve">Grid electricity. The implementation of the project activity only affects the quantity of electricity that is supplied from the grid and not the operation of the captive power plant. 
</t>
    </r>
    <r>
      <rPr>
        <b/>
        <u/>
        <sz val="11"/>
        <color theme="1"/>
        <rFont val="Calibri"/>
        <family val="2"/>
        <scheme val="minor"/>
      </rPr>
      <t>Case 2:</t>
    </r>
    <r>
      <rPr>
        <sz val="11"/>
        <color theme="1"/>
        <rFont val="Calibri"/>
        <family val="2"/>
        <scheme val="minor"/>
      </rPr>
      <t xml:space="preserve"> Electricity from captive power plant(s). The implementation of the project activity is clearly demonstrated to only affect the quantity of electricity that is generated in the captive power plant(s) and does not affect the quantity of electricity supplied from the grid. 
</t>
    </r>
    <r>
      <rPr>
        <b/>
        <u/>
        <sz val="11"/>
        <color theme="1"/>
        <rFont val="Calibri"/>
        <family val="2"/>
        <scheme val="minor"/>
      </rPr>
      <t>Case 3:</t>
    </r>
    <r>
      <rPr>
        <sz val="11"/>
        <color theme="1"/>
        <rFont val="Calibri"/>
        <family val="2"/>
        <scheme val="minor"/>
      </rPr>
      <t xml:space="preserve"> Electricity from both the grid and captive power plant(s). The implementation of the project activity may affect both the quantity of electricity that is generated in the captive power plant(s) and the quantity of electricity supplied from the grid.</t>
    </r>
  </si>
  <si>
    <t>Case 1</t>
  </si>
  <si>
    <t>If/Then</t>
  </si>
  <si>
    <t>If Case 1 was chosen:</t>
  </si>
  <si>
    <t>Redirect to Scenario A</t>
  </si>
  <si>
    <t>If Case 2 was chosen:</t>
  </si>
  <si>
    <t>Redirect to Scenario B</t>
  </si>
  <si>
    <t>If Case 3 was chosen:</t>
  </si>
  <si>
    <t>Redirect to Scenario A &amp; B</t>
  </si>
  <si>
    <t xml:space="preserve">If case 3 was chosen, this means that the more conservative value should be chosen between 
a) the result of applying either option A1 or A2 
and 
b) the result of applying either option B1 or B2. </t>
  </si>
  <si>
    <t>Sum of all Added Power Plants Emission Factor</t>
  </si>
  <si>
    <t>Emission factor for electricity generation for source j, k or l in year y (where the heat generation is ignored (t CO2/MWh)</t>
  </si>
  <si>
    <t>Sum of each Emission Factor (Heat generation ignored)</t>
  </si>
  <si>
    <t>Sum of each Emission Factor (Fuel consumption between electricity and heat generation)</t>
  </si>
  <si>
    <t>[Click to Add Fossil Fuel Captive Power Plant]</t>
  </si>
  <si>
    <t xml:space="preserve">Plant Name </t>
  </si>
  <si>
    <t>Plant 1</t>
  </si>
  <si>
    <t>Type of fossil fuel used</t>
  </si>
  <si>
    <t>Crude Oil</t>
  </si>
  <si>
    <r>
      <rPr>
        <sz val="18"/>
        <color rgb="FF000000"/>
        <rFont val="Calibri"/>
        <family val="2"/>
      </rPr>
      <t>NCV</t>
    </r>
    <r>
      <rPr>
        <vertAlign val="subscript"/>
        <sz val="18"/>
        <color rgb="FF000000"/>
        <rFont val="Calibri"/>
        <family val="2"/>
      </rPr>
      <t>i,t</t>
    </r>
  </si>
  <si>
    <t>Average net calorific value of the fossil fuel type used in the period t (GJ / mass or volume unit)</t>
  </si>
  <si>
    <t xml:space="preserve">Will auto-populate value from Default Values sheet dependent on Type of Fossil Fuel Used </t>
  </si>
  <si>
    <r>
      <t>EF</t>
    </r>
    <r>
      <rPr>
        <vertAlign val="subscript"/>
        <sz val="18"/>
        <color rgb="FF000000"/>
        <rFont val="Calibri"/>
        <family val="2"/>
      </rPr>
      <t>CO2,i,t</t>
    </r>
  </si>
  <si>
    <t>Average CO2 emission factor of the fossil fuel type used in the period t (t CO2 / GJ)</t>
  </si>
  <si>
    <t xml:space="preserve">Will auto-populate converted value from Default Values sheet dependent on Type of Fossil Fuel Used </t>
  </si>
  <si>
    <r>
      <t>FC</t>
    </r>
    <r>
      <rPr>
        <vertAlign val="subscript"/>
        <sz val="18"/>
        <color rgb="FF000000"/>
        <rFont val="Calibri"/>
        <family val="2"/>
      </rPr>
      <t>n,i,t</t>
    </r>
  </si>
  <si>
    <t>Quantity of fossil fuel fired in the captive power plant in the time period described in the project details (cubric meters, metric ton, or liters)</t>
  </si>
  <si>
    <r>
      <t>EG</t>
    </r>
    <r>
      <rPr>
        <vertAlign val="subscript"/>
        <sz val="18"/>
        <color rgb="FF000000"/>
        <rFont val="Calibri"/>
        <family val="2"/>
      </rPr>
      <t>n,t</t>
    </r>
  </si>
  <si>
    <t>Quantity of electricity generated in captive the power plant in the time period decribed in the projet details (MWh)</t>
  </si>
  <si>
    <r>
      <t>HG</t>
    </r>
    <r>
      <rPr>
        <vertAlign val="subscript"/>
        <sz val="18"/>
        <color rgb="FF000000"/>
        <rFont val="Calibri"/>
        <family val="2"/>
      </rPr>
      <t>n,t</t>
    </r>
  </si>
  <si>
    <t>Quantity of heat co-generated in captive power plant n in the time period t (GJ). (Only applicable if the CO2 emission factor for electricity generation is calculated by allocating the fuel consumption between electricity and heat generation)</t>
  </si>
  <si>
    <r>
      <t>η</t>
    </r>
    <r>
      <rPr>
        <vertAlign val="subscript"/>
        <sz val="18"/>
        <color theme="1"/>
        <rFont val="Calibri"/>
        <family val="2"/>
        <scheme val="minor"/>
      </rPr>
      <t>boiler,y</t>
    </r>
  </si>
  <si>
    <t>Efficiency of the boiler in which heat is assumed to be generated in the absence of a cogeneration plant in project/leakage scenario</t>
  </si>
  <si>
    <t>Default Values (will not change)</t>
  </si>
  <si>
    <t>Efficiency of the boiler in which heat is assumed to be generated in the absence of a cogeneration plant in baseline scenario</t>
  </si>
  <si>
    <t>Plant 2</t>
  </si>
  <si>
    <t>Gas/Diesel Oil</t>
  </si>
  <si>
    <t>Plant 3</t>
  </si>
  <si>
    <t>Natural Gas</t>
  </si>
  <si>
    <t xml:space="preserve">IPCC Default Values </t>
  </si>
  <si>
    <t xml:space="preserve">Fuel Type </t>
  </si>
  <si>
    <t>"NCV" Net Calorific Value (TJ/Gg)</t>
  </si>
  <si>
    <t>"EFCO2" Effective Default CO2 Emission Factors for Combustion (kg/TJ)</t>
  </si>
  <si>
    <t>Orimulsion</t>
  </si>
  <si>
    <t>Natural Gas Liquids</t>
  </si>
  <si>
    <t>Motor Gasoline</t>
  </si>
  <si>
    <t>Aviation Gasoline</t>
  </si>
  <si>
    <t>Jet Gasoline</t>
  </si>
  <si>
    <t>Jet Kerosene</t>
  </si>
  <si>
    <t>Other Kerosene</t>
  </si>
  <si>
    <t>Shale Oil</t>
  </si>
  <si>
    <t>Residual Fuel Oil</t>
  </si>
  <si>
    <t>Liquefied Petroleum Gases</t>
  </si>
  <si>
    <t>Ethane</t>
  </si>
  <si>
    <t>Naphtha</t>
  </si>
  <si>
    <t>Bitumen</t>
  </si>
  <si>
    <t>Lubricants</t>
  </si>
  <si>
    <t>Petroleum Coke</t>
  </si>
  <si>
    <t>Refinery Feedstocks</t>
  </si>
  <si>
    <t>Refinery Gas</t>
  </si>
  <si>
    <t>Paraffin Waxes</t>
  </si>
  <si>
    <t>White Spirit &amp; SBP</t>
  </si>
  <si>
    <t>Other Petroleum Products</t>
  </si>
  <si>
    <t>Anthracite</t>
  </si>
  <si>
    <t>Coking Coal</t>
  </si>
  <si>
    <t>Other Bituminous Coal</t>
  </si>
  <si>
    <t>Sub-Bituminous Coal</t>
  </si>
  <si>
    <t>Lignite</t>
  </si>
  <si>
    <t>Oil Shale and Tar Sands</t>
  </si>
  <si>
    <t>Brown Coal Briquettes</t>
  </si>
  <si>
    <t>Patent Fuel</t>
  </si>
  <si>
    <t>Coke oven coke and lignite Coke</t>
  </si>
  <si>
    <t>Gas Coke</t>
  </si>
  <si>
    <t>Coal Tar</t>
  </si>
  <si>
    <t>Gas Works Gas</t>
  </si>
  <si>
    <t>Coke Oven Gas</t>
  </si>
  <si>
    <t xml:space="preserve">Blast Furnace Gas </t>
  </si>
  <si>
    <t>Oxygen Steel Furnace Gas</t>
  </si>
  <si>
    <t>Municipal Wastes (non-biomass fraction)</t>
  </si>
  <si>
    <t>Waste Oil</t>
  </si>
  <si>
    <t>Peat</t>
  </si>
  <si>
    <t>Wood/Wood Waste</t>
  </si>
  <si>
    <t>Sulphite lyes (black liquor)</t>
  </si>
  <si>
    <t>Other Primary Solid Biomass</t>
  </si>
  <si>
    <t>Charcoal</t>
  </si>
  <si>
    <t>Biogasoline</t>
  </si>
  <si>
    <t>Biodiesels</t>
  </si>
  <si>
    <t>Other Liquid Biofuels</t>
  </si>
  <si>
    <t>Landfill Gas</t>
  </si>
  <si>
    <t>Sludge Gas</t>
  </si>
  <si>
    <t>Other Biogas</t>
  </si>
  <si>
    <t>Municipal Wastes (biomass fraction)</t>
  </si>
  <si>
    <t>Industrial Wastes</t>
  </si>
  <si>
    <t>Applicability</t>
  </si>
  <si>
    <t>Please select yes if the flaring of flammable greenhouse gases follows this statement: Methane is the component with the highest concentration in the flammable residual gas; and  the source of the residual gas is coal mine methane or a gas from a biogenic source (e.g. biogas, landfill gas or wastewater treatment gas).</t>
  </si>
  <si>
    <t xml:space="preserve">The PP can select Yes or No. If no is selected then they should get a message saying "This tool is not applicable for your project." </t>
  </si>
  <si>
    <t>Constants used in equations</t>
  </si>
  <si>
    <t>MMCH4</t>
  </si>
  <si>
    <t>Molecular mass of methane</t>
  </si>
  <si>
    <t>MMCO</t>
  </si>
  <si>
    <t>Molecular mass of carbon monoxide</t>
  </si>
  <si>
    <t>MMCO2</t>
  </si>
  <si>
    <t>Molecular mass of carbon dioxide</t>
  </si>
  <si>
    <t>MMO2</t>
  </si>
  <si>
    <t>Molecular mass of oxygen</t>
  </si>
  <si>
    <t>MMH2</t>
  </si>
  <si>
    <t>Molecular mass of hydrogen</t>
  </si>
  <si>
    <t>MMN2</t>
  </si>
  <si>
    <t>Molecular mass of nitrogen</t>
  </si>
  <si>
    <t>AMc</t>
  </si>
  <si>
    <t>Atomic mass of carbon</t>
  </si>
  <si>
    <t>AMh</t>
  </si>
  <si>
    <t>Atomic mass of hydrogen</t>
  </si>
  <si>
    <t>AMo</t>
  </si>
  <si>
    <t>Atomic mass of oxygen</t>
  </si>
  <si>
    <t>AMn</t>
  </si>
  <si>
    <t>Atomic mass of nitrogen</t>
  </si>
  <si>
    <t>Pn</t>
  </si>
  <si>
    <t>Atmospheric pressure at normal conditions</t>
  </si>
  <si>
    <t>Ru</t>
  </si>
  <si>
    <t>Universal ideal gas constant</t>
  </si>
  <si>
    <t>Tn</t>
  </si>
  <si>
    <t>Temperature at normal conditions</t>
  </si>
  <si>
    <t>MFO2</t>
  </si>
  <si>
    <t>O2 volumetric fraction of air</t>
  </si>
  <si>
    <t>Global warming potential of methane</t>
  </si>
  <si>
    <t>MVn</t>
  </si>
  <si>
    <t>Volume of one mole of any ideal gas at normal temperature and pressure</t>
  </si>
  <si>
    <t>ρ CH4, n</t>
  </si>
  <si>
    <t>Density of methane gas at normal conditions</t>
  </si>
  <si>
    <t>NAi,j</t>
  </si>
  <si>
    <t>Number of atoms of element j in component i, depending on molecular structure</t>
  </si>
  <si>
    <t>-</t>
  </si>
  <si>
    <t>NA C,CH4</t>
  </si>
  <si>
    <t>Number of atoms of element C in component CH4</t>
  </si>
  <si>
    <t>NA C,CO</t>
  </si>
  <si>
    <t>Number of atoms of element C in component CO</t>
  </si>
  <si>
    <t>NA C,CO2</t>
  </si>
  <si>
    <t>Number of atoms of element C in component CO2</t>
  </si>
  <si>
    <t>NA H,CH4</t>
  </si>
  <si>
    <t>Number of atoms of element H in component CH4</t>
  </si>
  <si>
    <t>NA H,H2</t>
  </si>
  <si>
    <t>Number of atoms of element H in component H2</t>
  </si>
  <si>
    <t>NA O,CO</t>
  </si>
  <si>
    <t>Number of atoms of element O in component CO</t>
  </si>
  <si>
    <t>NA O,CO2</t>
  </si>
  <si>
    <t>Number of atoms of element O in component CO2</t>
  </si>
  <si>
    <t>NA O,O2</t>
  </si>
  <si>
    <t>Number of atoms of element O in component O2</t>
  </si>
  <si>
    <t>NA N,N2</t>
  </si>
  <si>
    <t>Number of atoms of element N in component N2</t>
  </si>
  <si>
    <t>Input Data</t>
  </si>
  <si>
    <t>vi,RG,m,CH4</t>
  </si>
  <si>
    <t xml:space="preserve">Volumetric fraction of CH4 in residual gas </t>
  </si>
  <si>
    <t>vi,RG,m,CO</t>
  </si>
  <si>
    <t xml:space="preserve">Volumetric fraction of CO in residual gas </t>
  </si>
  <si>
    <t>vi,RG,m,CO2</t>
  </si>
  <si>
    <t xml:space="preserve">Volumetric fraction of CO2 in residual gas </t>
  </si>
  <si>
    <t>vi,RG,m,O2</t>
  </si>
  <si>
    <t xml:space="preserve">Volumetric fraction of O2 in residual gas </t>
  </si>
  <si>
    <t>vi,RG,m,H2</t>
  </si>
  <si>
    <t xml:space="preserve">Volumetric fraction of H2 in residual gas </t>
  </si>
  <si>
    <t>vi,RG,m,N2</t>
  </si>
  <si>
    <t xml:space="preserve">Volumetric fraction of N2 in residual gas </t>
  </si>
  <si>
    <t>VRG,m</t>
  </si>
  <si>
    <t>Volumetric flow of residual gas at normal conditions</t>
  </si>
  <si>
    <t>vO2,EG,m</t>
  </si>
  <si>
    <t>O2 volumetric fraction of flare exhaust gas</t>
  </si>
  <si>
    <t>fcCH4,EG,m</t>
  </si>
  <si>
    <t>Methane volumetric fraction or concentration of flare exhaust gas</t>
  </si>
  <si>
    <t>FOP</t>
  </si>
  <si>
    <t>Flare operational hours in the year</t>
  </si>
  <si>
    <t>Determination of the methane mass flow in the residual gas</t>
  </si>
  <si>
    <t>MRG,m</t>
  </si>
  <si>
    <t>Mass flow of the residual gas on a dry basis at reference conditions in the minute m (kg)</t>
  </si>
  <si>
    <t>PRG,ref,m</t>
  </si>
  <si>
    <t>Density of the residual gas at reference conditions in the minute m (kg/m3 )</t>
  </si>
  <si>
    <t xml:space="preserve">VRG,m </t>
  </si>
  <si>
    <t>Volumetric flow of the residual gas on a dry basis at reference conditions in the minute m (m3 )</t>
  </si>
  <si>
    <t>Pref</t>
  </si>
  <si>
    <t>Atmospheric pressure at reference conditions (Pa)</t>
  </si>
  <si>
    <t xml:space="preserve">MMRG,m </t>
  </si>
  <si>
    <t>Molecular mass of the residual gas in the minute m (kg/kmol)</t>
  </si>
  <si>
    <t>Determination of methane mass flow rate in the residual gas on a dry basis</t>
  </si>
  <si>
    <t>Fi,t</t>
  </si>
  <si>
    <t>Mass flow of greenhouse gas I in the gaseous stream in time interval t (kg gas/h)</t>
  </si>
  <si>
    <t>Determination of flare efficiency</t>
  </si>
  <si>
    <t>nflare,calc,m</t>
  </si>
  <si>
    <t>Flare efficiency in the minute m (Percent)</t>
  </si>
  <si>
    <t>Determination of methane mass flow rate in the exhaust gas on a dry basis of flare efficiency</t>
  </si>
  <si>
    <t>FCH4,EG,m</t>
  </si>
  <si>
    <t>Mass flow of methane in the exhaust gas of the flare on a dry basis at reference conditions in the minute m (kg)</t>
  </si>
  <si>
    <t>Determination of the volumetric flow rate of the exhaust gas</t>
  </si>
  <si>
    <t>VEG,m</t>
  </si>
  <si>
    <t>Volumetric flow of the exhaust gas on a dry basis at reference conditions in the minute m (m3 )</t>
  </si>
  <si>
    <t xml:space="preserve">QEG,m </t>
  </si>
  <si>
    <t>Volume of the exhaust gas on a dry basis per kg of residual gas on a dry basis at reference conditions in the minute m (m3 /kg residual gas)</t>
  </si>
  <si>
    <t>QO2,EG,m</t>
  </si>
  <si>
    <t>O2 volume in the exhaust gas per kg of residual gas on a dry basis at reference conditions in the minute m (m3 /kg residual gas)</t>
  </si>
  <si>
    <t xml:space="preserve">QN2,EG,m </t>
  </si>
  <si>
    <t>N2 (volume) in the exhaust gas per kg of residual gas on a dry basis at reference conditions in the minute m (m3 /kg residual gas)</t>
  </si>
  <si>
    <t>QCO2,EG,m</t>
  </si>
  <si>
    <t>CO2 volume in the exhaust gas per kg of residual gas on a dry basis at reference conditions in the minute m (m3 /kg residual gas)</t>
  </si>
  <si>
    <t xml:space="preserve">NO2,EG,m </t>
  </si>
  <si>
    <t>O2 (moles) in the exhaust gas per kg of residual gas flared on a dry basis at reference conditions in the minute m (kmol/kg residual gas)</t>
  </si>
  <si>
    <t>FO2,RG,m</t>
  </si>
  <si>
    <t>Stochiometric quantity of moles of O2 required for a complete oxidation of one kg residual gas in the minute m (kmol/kg residual gas)</t>
  </si>
  <si>
    <t xml:space="preserve">Determination of the mass fraction of carbon, hydrogen, oxygen and nitrogen in the residual gas </t>
  </si>
  <si>
    <t xml:space="preserve">MFC,RG,m </t>
  </si>
  <si>
    <t>Mass fraction of element carbon in the residual gas in the minute m</t>
  </si>
  <si>
    <t>MFH2,RG,m</t>
  </si>
  <si>
    <t>Mass fraction of element hydrogen in the residual gas in the minute m</t>
  </si>
  <si>
    <t>MFO2,RG,m</t>
  </si>
  <si>
    <t>Mass fraction of element oxygen in the residual gas in the minute m</t>
  </si>
  <si>
    <t xml:space="preserve">MFN2,RG,m </t>
  </si>
  <si>
    <t>Mass fraction of element nitrogen in the residual gas in the minute m</t>
  </si>
  <si>
    <t>Calculation of project yearly emissions from flaring</t>
  </si>
  <si>
    <t xml:space="preserve">PEflare,y </t>
  </si>
  <si>
    <t>Project emissions from flaring of the residual gas in year y (tCO2e)</t>
  </si>
  <si>
    <t xml:space="preserve">TOOL 32: Positive lists of technologies </t>
  </si>
  <si>
    <t>yes</t>
  </si>
  <si>
    <t>if/then</t>
  </si>
  <si>
    <t>Choose which activity project falls under:</t>
  </si>
  <si>
    <t>Waste handling and disposal</t>
  </si>
  <si>
    <t>3 options:
- Waste handling and disposal
- Renewable energy
- Household, communities, or Small and Medium Enterprises (SMEs)</t>
  </si>
  <si>
    <t xml:space="preserve">Waste handling and disposal </t>
  </si>
  <si>
    <t>Choose which waste handling and disposal activity the project falls under:</t>
  </si>
  <si>
    <t>Methane recovery in wastewater treatment</t>
  </si>
  <si>
    <t>2 options:
- Landfill gas recovery and its gainful use
- Methane recovery in wastewater treatment</t>
  </si>
  <si>
    <t xml:space="preserve">if/then </t>
  </si>
  <si>
    <t>If Landfill gas recovery and its gainful use:</t>
  </si>
  <si>
    <t>Does project meet the following conditions?
(a) The LFG is used to generate electricity in one or several power plants with a total nameplate capacity that equals or is below 10 MW
(b) The LFG is used to generate heat for internal or external consumption
(c) The LFG is flared</t>
  </si>
  <si>
    <t xml:space="preserve">If Yes: Project is deemed additional.
If No: Project is deemed not additional.
</t>
  </si>
  <si>
    <t>string</t>
  </si>
  <si>
    <t>Provide evidence to justify answer.</t>
  </si>
  <si>
    <t>(Explanation/proof)</t>
  </si>
  <si>
    <t>Follow up to previous question.</t>
  </si>
  <si>
    <t>If Methane recovery in wastewater treatment:</t>
  </si>
  <si>
    <t xml:space="preserve">Does the project meet the following conditions?
(a) The existing treatment system is an anaerobic lagoon and the wastewater discharged meets the host country regulation; 
(b) There is no regulation in the host country that requires the management of biogas from domestic, industrial and agricultural sites; 
(c) There is no capacity increase in the wastewater treatment system; 
(d) No other alternative economic activity is expected to be undertaken on the land of the existing lagoon; 
(e) The biogas is used to generate electricity in one or more power plants, and the total nameplate capacity is below 5 MW. </t>
  </si>
  <si>
    <t>Renewable energy</t>
  </si>
  <si>
    <t>Choose which renewable energy activity the project falls under:</t>
  </si>
  <si>
    <t>Tech for large-scale grid-connected power generation</t>
  </si>
  <si>
    <t xml:space="preserve">5 options:
- Tech for large-scale grid-connected power generation
- Tech for large-scale isolated grid power generation
- Tech for small-scale grid-connected power generation 
- Tech for small-scale off-grid power generation
- Rural electrification projects </t>
  </si>
  <si>
    <t>If tech for large-scale grid-connected power generation:</t>
  </si>
  <si>
    <t xml:space="preserve">Choose which grid-connected electricity generation technology used out of the positive list: </t>
  </si>
  <si>
    <t>Off-shore wind technologies</t>
  </si>
  <si>
    <t>List of positive tech considered</t>
  </si>
  <si>
    <t>After choosing tech for large-scale grid-connected power generation:</t>
  </si>
  <si>
    <t xml:space="preserve">Does the project meet the following conditions?
(a) The percentage share of total installed capacity of the specific technology in the total installed grid connected power generation capacity in the host country is equal to or less than two per cent; or
(b) The total installed capacity of the technology in the host country is less than or equal to 50 MW. </t>
  </si>
  <si>
    <t>If tech for large-scale isolated grid power generation :</t>
  </si>
  <si>
    <t>Solar photovoltaic technologies</t>
  </si>
  <si>
    <t>After choosing tech for isolated grid power generation :</t>
  </si>
  <si>
    <t xml:space="preserve">Does the project meet the following conditions?
(a) The percentage share of total installed isolated grid power generation capacity of the specific technology in the total installed isolated grid power generation capacity in the host country is equal to or less than two per cent; or 
(b) The total installed isolated grid power generation capacity of the specific technology in the host country is less than or equal to 50 MW. </t>
  </si>
  <si>
    <t>If tech for small-scale grid-connected power generation:</t>
  </si>
  <si>
    <t xml:space="preserve">Does the project include technologies in the following positive list?
(a) Solar thermal electricity generation including concentrating solar power 
(b) Off-shore wind technologies
(c) Marine wave technologies
d) Marine tidal technologies
(e) Building-integrated wind turbines or household rooftop wind turbines of a size up to 100 kW
(f) Biomass internal gasification combined cycle . </t>
  </si>
  <si>
    <t>(Explanation/proof to demonstrate technology used in previous question.)</t>
  </si>
  <si>
    <t>If tech for small-scale off-grid power generation:</t>
  </si>
  <si>
    <t>Does the project meet the following conditions? (as well as not exceeding the thresholds indicated in parentheses with the aggregate project installed capacity not exceeding the 15 MW threshold)
(a) Micro/pico-hydro (with power plant size up to 100 kW)
(b) Micro/pico-wind turbine (up to 100 kW)
(c) PV-wind hybrid (up to 100 kW)
d) Geothermal (up to 200 kW)
(e) Biomass gasification/biogas (up to 100 kW)</t>
  </si>
  <si>
    <t>If Rural electrification projects:</t>
  </si>
  <si>
    <t xml:space="preserve">Does the project meet the following conditions?
(a) Rural electrification rate in the country is below 50 per cent; 
(b) Geography: Least Developed Countries , Small Island Developing States , Special Under Developed Zone (SUZ)
(c) Recent trends: rural electrification rate has increased by less than 20 per cent over the past 10 years; 
(d) The extension of a grid for rural electrification of a community involves at least a distance of 3 km from the point of grid extension to the rural community at which the CDM project is implemented. </t>
  </si>
  <si>
    <t xml:space="preserve">Positive list for technology/measure used by household, communities and SMEs </t>
  </si>
  <si>
    <t>Choose which technology/measure the project falls under:</t>
  </si>
  <si>
    <t>Micro-irrigation</t>
  </si>
  <si>
    <t>3 options:
- Biogas digesters for cooking
- Micro-irrigation
- Energy efficient pump-set for agriculture</t>
  </si>
  <si>
    <t>Parameter(Constant)</t>
  </si>
  <si>
    <t>Value</t>
  </si>
  <si>
    <t>MCFs,treatment,BL,j</t>
  </si>
  <si>
    <t>EFCO2</t>
  </si>
  <si>
    <t>Property</t>
  </si>
  <si>
    <t>Methodology List</t>
  </si>
  <si>
    <t>AccountableImpactOrganization.id</t>
  </si>
  <si>
    <t>ACR- Truck Stop Electrification</t>
  </si>
  <si>
    <t>ACR- Advanced Refrigeration Systems</t>
  </si>
  <si>
    <t>AccountableImpactOrganization.description</t>
  </si>
  <si>
    <t xml:space="preserve">ACR- Certified Reclaimed HFC Refrigerants, Propellants, and Fire Suppressants </t>
  </si>
  <si>
    <t>ACR - Destruction of Ozone Depleting Substances and High-GWP Foam</t>
  </si>
  <si>
    <t>ACR- Destruction of Ozone Depleting Substances from International Sources</t>
  </si>
  <si>
    <t>ACR- Transition to Advanced Formulation Blowing Agents in Foam Manufacturing</t>
  </si>
  <si>
    <t>AccountableImpactOrganization.region</t>
  </si>
  <si>
    <t>ACR - Afforestation and Reforestation of Degraded Lands</t>
  </si>
  <si>
    <t>AccountableImpactOrganization.informationLink</t>
  </si>
  <si>
    <t xml:space="preserve">ACR- Avoided Conversion of Grasslands and Shrublands to Crop Production </t>
  </si>
  <si>
    <t>AccountableImpactOrganization.mediaLinks</t>
  </si>
  <si>
    <t>ACR - Improved Forest Management (IFM) on Canadian Forestlands</t>
  </si>
  <si>
    <t>AccountableImpactOrganization.attestations</t>
  </si>
  <si>
    <t>ACR- Improved Forest Management (IFM) on Non-Federal U.S. Forestlands</t>
  </si>
  <si>
    <t>AccountableImpactOrganization.activityImpactModules</t>
  </si>
  <si>
    <t xml:space="preserve">ACR- Improved Forest Management (IFM) on Small Non-Industrial Private Forestlands </t>
  </si>
  <si>
    <t>ActivityImpactModule.id</t>
  </si>
  <si>
    <t>ACR - Restoration of California Deltaic and Coastal Wetlands</t>
  </si>
  <si>
    <t>ActivityImpactModule.aioId</t>
  </si>
  <si>
    <t>ACR- Restoration of Pocosin Wetlands ACR - Carbon Capture and Storage Projects</t>
  </si>
  <si>
    <t>ActivityImpactModule.name</t>
  </si>
  <si>
    <t>CAR - Adipic Acid Production</t>
  </si>
  <si>
    <t>ActivityImpactModule.classificationCategory</t>
  </si>
  <si>
    <t xml:space="preserve">ACR- Landfill Gas Destruction and Beneficial Use Projects </t>
  </si>
  <si>
    <t>ActivityImpactModule.classificationMethod</t>
  </si>
  <si>
    <t>CAR- Biochar</t>
  </si>
  <si>
    <t>ActivityImpactModule.benefitCategory</t>
  </si>
  <si>
    <t>CAR- Canada Grassland</t>
  </si>
  <si>
    <t xml:space="preserve">CAR - Coal Mine Methane </t>
  </si>
  <si>
    <t>CAR - Forest</t>
  </si>
  <si>
    <t>CAR- Grassland</t>
  </si>
  <si>
    <t>ActivityImpactModule.arbId</t>
  </si>
  <si>
    <t>CAR- Mexico Boiler Efficiency</t>
  </si>
  <si>
    <t>ActivityImpactModule.geographicLocation</t>
  </si>
  <si>
    <t>CAR - Mexico Forest</t>
  </si>
  <si>
    <t>ActivityImpactModule.firstYearIssuance</t>
  </si>
  <si>
    <t>CAR- Mexico Halocarbon</t>
  </si>
  <si>
    <t>ActivityImpactModule.registryProjectId</t>
  </si>
  <si>
    <t xml:space="preserve">CAR - Mexico Landfill </t>
  </si>
  <si>
    <t>ActivityImpactModule.developers</t>
  </si>
  <si>
    <t>CAR - Mexico Livestock</t>
  </si>
  <si>
    <t>ActivityImpactModule.sponsors</t>
  </si>
  <si>
    <t>CAR - Nitric Acid Production</t>
  </si>
  <si>
    <t>ActivityImpactModule.claimSources</t>
  </si>
  <si>
    <t xml:space="preserve">CAR- Mexico Ozone Depleting Substances </t>
  </si>
  <si>
    <t>ActivityImpactModule.impactClaims</t>
  </si>
  <si>
    <t>CAR - Organic Waste Composting</t>
  </si>
  <si>
    <t>ActivityImpactModule.mrvExtensions</t>
  </si>
  <si>
    <t xml:space="preserve">CAR - Organic Waste Digestion </t>
  </si>
  <si>
    <t>ActivityImpactModule.validations</t>
  </si>
  <si>
    <t xml:space="preserve">CAR - Ozone Depleting Substances </t>
  </si>
  <si>
    <t>ActivityImpactModule.attestations</t>
  </si>
  <si>
    <t>CAR - Rice Cultivation</t>
  </si>
  <si>
    <t>ActivityImpactModule.accountableImpactOrganization</t>
  </si>
  <si>
    <t>CAR- Nitrogen Management</t>
  </si>
  <si>
    <t>ActivityImpactModule.projectStartDate</t>
  </si>
  <si>
    <t xml:space="preserve">CAR - Soil Enrichment </t>
  </si>
  <si>
    <t>ActivityImpactModule.projectCreditingPeriod</t>
  </si>
  <si>
    <t xml:space="preserve">CAR - Urban Forest Management </t>
  </si>
  <si>
    <t>ActivityImpactModule.projectMonitoringPeriod</t>
  </si>
  <si>
    <t>CAR - Urban Tree Planting</t>
  </si>
  <si>
    <t>ActivityImpactModule.GeographicLocation.longitude</t>
  </si>
  <si>
    <t xml:space="preserve">CAR - U.S. Landfill </t>
  </si>
  <si>
    <t>ActivityImpactModule.GeographicLocation.latitude</t>
  </si>
  <si>
    <t>CAR - U.S. Livestock</t>
  </si>
  <si>
    <t>ActivityImpactModule.GeographicLocation.geoJsonOrKml</t>
  </si>
  <si>
    <t>CDM - AM0001</t>
  </si>
  <si>
    <t>Address.addressType</t>
  </si>
  <si>
    <t>CDM - AM0007</t>
  </si>
  <si>
    <t>Address.addressLines</t>
  </si>
  <si>
    <t>CDM - AM0009</t>
  </si>
  <si>
    <t>Address.city</t>
  </si>
  <si>
    <t>CDM - AM0017</t>
  </si>
  <si>
    <t>Address.state</t>
  </si>
  <si>
    <t>CDM - AM0018</t>
  </si>
  <si>
    <t>Address.zip</t>
  </si>
  <si>
    <t>CDM - AM0019</t>
  </si>
  <si>
    <t>Address.country</t>
  </si>
  <si>
    <t>CDM - AM0020</t>
  </si>
  <si>
    <t>Any.typeUrl</t>
  </si>
  <si>
    <t>CDM - AM0021</t>
  </si>
  <si>
    <t>Any.value</t>
  </si>
  <si>
    <t>CDM - AM0023</t>
  </si>
  <si>
    <t>Attestation.tag</t>
  </si>
  <si>
    <t>CDM - AM0026</t>
  </si>
  <si>
    <t>Attestation.type</t>
  </si>
  <si>
    <t>CDM - AM0027</t>
  </si>
  <si>
    <t>Attestation.proofType</t>
  </si>
  <si>
    <t>CDM - AM0028</t>
  </si>
  <si>
    <t>Attestation.attestor</t>
  </si>
  <si>
    <t>CDM - AM0030</t>
  </si>
  <si>
    <t>Attestation.signature</t>
  </si>
  <si>
    <t>CDM - AM0031</t>
  </si>
  <si>
    <t>Audits.auditDate</t>
  </si>
  <si>
    <t>CDM - AM0035</t>
  </si>
  <si>
    <t>Audits.auditReports</t>
  </si>
  <si>
    <t>CDM - AM0036</t>
  </si>
  <si>
    <t>CRU.id</t>
  </si>
  <si>
    <t>CDM - AM0037</t>
  </si>
  <si>
    <t>CRU.quantity</t>
  </si>
  <si>
    <t>CDM - AM0038</t>
  </si>
  <si>
    <t>CRU.unit</t>
  </si>
  <si>
    <t>CDM - AM0043</t>
  </si>
  <si>
    <t>CRU.ownerId</t>
  </si>
  <si>
    <t>CDM - AM0044</t>
  </si>
  <si>
    <t>CRU.listingAgentId</t>
  </si>
  <si>
    <t>CDM - AM0045</t>
  </si>
  <si>
    <t>CRU.coreCarbonPrinciples</t>
  </si>
  <si>
    <t>CDM - AM0046</t>
  </si>
  <si>
    <t>CRU.climateLabels</t>
  </si>
  <si>
    <t>CDM - AM0048</t>
  </si>
  <si>
    <t>CRU.status</t>
  </si>
  <si>
    <t>CDM - AM0049</t>
  </si>
  <si>
    <t>CRU.referencedCredit</t>
  </si>
  <si>
    <t>CDM - AM0050</t>
  </si>
  <si>
    <t>CRU.appliedToId</t>
  </si>
  <si>
    <t>CDM - AM0052</t>
  </si>
  <si>
    <t>CRU.processedClaimId</t>
  </si>
  <si>
    <t>CDM - AM0053</t>
  </si>
  <si>
    <t>CRU.issuerId</t>
  </si>
  <si>
    <t>CDM - AM0055</t>
  </si>
  <si>
    <t>CRU.processedClaim</t>
  </si>
  <si>
    <t>CDM - AM0056</t>
  </si>
  <si>
    <t>CheckpointResult.id</t>
  </si>
  <si>
    <t>CDM - AM0057</t>
  </si>
  <si>
    <t>CheckpointResult.checkpointId</t>
  </si>
  <si>
    <t>CDM - AM0058</t>
  </si>
  <si>
    <t>CheckpointResult.linkToVerificationData</t>
  </si>
  <si>
    <t>CDM - AM0059</t>
  </si>
  <si>
    <t>CheckpointResult.dateRange</t>
  </si>
  <si>
    <t>CDM - AM0060</t>
  </si>
  <si>
    <t>CheckpointResult.efBefore</t>
  </si>
  <si>
    <t>CDM - AM0061</t>
  </si>
  <si>
    <t>CheckpointResult.efAfter</t>
  </si>
  <si>
    <t>CDM - AM0062</t>
  </si>
  <si>
    <t>CheckpointResult.mrvExtensions</t>
  </si>
  <si>
    <t>CDM - AM0063</t>
  </si>
  <si>
    <t>ClaimSource.id</t>
  </si>
  <si>
    <t>CDM - AM0064</t>
  </si>
  <si>
    <t>ClaimSource.aimId</t>
  </si>
  <si>
    <t>CDM - AM0065</t>
  </si>
  <si>
    <t>ClaimSource.name</t>
  </si>
  <si>
    <t>CDM - AM0066</t>
  </si>
  <si>
    <t>ClaimSource.description</t>
  </si>
  <si>
    <t>CDM - AM0067</t>
  </si>
  <si>
    <t>ClaimSource.location</t>
  </si>
  <si>
    <t>CDM - AM0068</t>
  </si>
  <si>
    <t>ClaimSource.sourceType</t>
  </si>
  <si>
    <t>CDM - AM0069</t>
  </si>
  <si>
    <t>ClaimSource.unitOfMeasure</t>
  </si>
  <si>
    <t>CDM - AM0070</t>
  </si>
  <si>
    <t>ClaimSource.sourceIdentifier</t>
  </si>
  <si>
    <t>CDM - AM0071</t>
  </si>
  <si>
    <t>ClaimSource.mrvExtensions</t>
  </si>
  <si>
    <t>CDM - AM0072</t>
  </si>
  <si>
    <t>ClimateLabel.id</t>
  </si>
  <si>
    <t>CDM - AM0073</t>
  </si>
  <si>
    <t>ClimateLabel.name</t>
  </si>
  <si>
    <t>CDM - AM0074</t>
  </si>
  <si>
    <t>ClimateLabel.description</t>
  </si>
  <si>
    <t>CDM - AM0075</t>
  </si>
  <si>
    <t>CDM - AM0076</t>
  </si>
  <si>
    <t>CoBenefit.description</t>
  </si>
  <si>
    <t>CDM - AM0077</t>
  </si>
  <si>
    <t>CoreCarbonPrinciples.assetId</t>
  </si>
  <si>
    <t>CDM - AM0078</t>
  </si>
  <si>
    <t>CoreCarbonPrinciples.issuanceDate</t>
  </si>
  <si>
    <t>CDM - AM0079</t>
  </si>
  <si>
    <t>CoreCarbonPrinciples.vintage</t>
  </si>
  <si>
    <t>CDM - AM0080</t>
  </si>
  <si>
    <t>CoreCarbonPrinciples.generationType</t>
  </si>
  <si>
    <t>CDM - AM0081</t>
  </si>
  <si>
    <t>CoreCarbonPrinciples.verificationStandard</t>
  </si>
  <si>
    <t>CDM - AM0082</t>
  </si>
  <si>
    <t>CoreCarbonPrinciples.mitigationActivity</t>
  </si>
  <si>
    <t>CDM - AM0083</t>
  </si>
  <si>
    <t>CoreCarbonPrinciples.durability</t>
  </si>
  <si>
    <t>CDM - AM0084</t>
  </si>
  <si>
    <t>CoreCarbonPrinciples.replacement</t>
  </si>
  <si>
    <t>CDM - AM0086</t>
  </si>
  <si>
    <t>CoreCarbonPrinciples.parisAgreementCompliance</t>
  </si>
  <si>
    <t>CDM - AM0088</t>
  </si>
  <si>
    <t>CoreCarbonPrinciples.quantifiedSdgImpacts</t>
  </si>
  <si>
    <t>CDM - AM0089</t>
  </si>
  <si>
    <t>CoreCarbonPrinciples.adaptationCoBenefits</t>
  </si>
  <si>
    <t>CDM - AM0090</t>
  </si>
  <si>
    <t>Credential.context</t>
  </si>
  <si>
    <t>CDM - AM0091</t>
  </si>
  <si>
    <t>Credential.id</t>
  </si>
  <si>
    <t>CDM - AM0092</t>
  </si>
  <si>
    <t>Credential.type</t>
  </si>
  <si>
    <t>CDM - AM0093</t>
  </si>
  <si>
    <t>Credential.issuer</t>
  </si>
  <si>
    <t>CDM - AM0094</t>
  </si>
  <si>
    <t>Credential.issuanceDate</t>
  </si>
  <si>
    <t>CDM - AM0095</t>
  </si>
  <si>
    <t>Credential.credentialSubject</t>
  </si>
  <si>
    <t>CDM - AM0096</t>
  </si>
  <si>
    <t>Credential.proof</t>
  </si>
  <si>
    <t>CDM - AM0097</t>
  </si>
  <si>
    <t>CredentialSubject.id</t>
  </si>
  <si>
    <t>CDM - AM0098</t>
  </si>
  <si>
    <t>CredentialSubject.property</t>
  </si>
  <si>
    <t>CDM - AM0099</t>
  </si>
  <si>
    <t>DataExtension.key</t>
  </si>
  <si>
    <t>CDM - AM0100</t>
  </si>
  <si>
    <t>DataExtension.value</t>
  </si>
  <si>
    <t>CDM - AM0101</t>
  </si>
  <si>
    <t>DataExtension.data</t>
  </si>
  <si>
    <t>CDM - AM0103</t>
  </si>
  <si>
    <t>Date.dateTime</t>
  </si>
  <si>
    <t>CDM - AM0104</t>
  </si>
  <si>
    <t>Date.dateString</t>
  </si>
  <si>
    <t>CDM - AM0105</t>
  </si>
  <si>
    <t>DatePoint.date</t>
  </si>
  <si>
    <t>CDM - AM0106</t>
  </si>
  <si>
    <t>DatePoint.timeStamp</t>
  </si>
  <si>
    <t>CDM - AM0107</t>
  </si>
  <si>
    <t>DateRange.startDate</t>
  </si>
  <si>
    <t>CDM - AM0108</t>
  </si>
  <si>
    <t>DateRange.endDate</t>
  </si>
  <si>
    <t>CDM - AM0109</t>
  </si>
  <si>
    <t>Degradable.percentage</t>
  </si>
  <si>
    <t>CDM - AM0110</t>
  </si>
  <si>
    <t>Degradable.factor</t>
  </si>
  <si>
    <t>CDM - AM0111</t>
  </si>
  <si>
    <t>Degradable.degradationType</t>
  </si>
  <si>
    <t>CDM - AM0112</t>
  </si>
  <si>
    <t>DigitalSignature.type</t>
  </si>
  <si>
    <t>CDM - AM0113</t>
  </si>
  <si>
    <t>DigitalSignature.jws</t>
  </si>
  <si>
    <t>CDM - AM0114</t>
  </si>
  <si>
    <t>DigitalSignature.vc</t>
  </si>
  <si>
    <t>CDM - AM0115</t>
  </si>
  <si>
    <t>DigitalSignature.signatureCase</t>
  </si>
  <si>
    <t>CDM - AM0116</t>
  </si>
  <si>
    <t>Durability.storageType</t>
  </si>
  <si>
    <t>CDM - AM0117</t>
  </si>
  <si>
    <t>Durability.years</t>
  </si>
  <si>
    <t>CDM - AM0118</t>
  </si>
  <si>
    <t>Durability.degradable</t>
  </si>
  <si>
    <t>CDM - AM0119</t>
  </si>
  <si>
    <t>Durability.reversalMitigation</t>
  </si>
  <si>
    <t>CDM - AM0120</t>
  </si>
  <si>
    <t>CDM - AM0121</t>
  </si>
  <si>
    <t>CDM - AM0122</t>
  </si>
  <si>
    <t>CDM - AMS-I.A.</t>
  </si>
  <si>
    <t>GeographicLocation.geographicLocationFile</t>
  </si>
  <si>
    <t>CDM - AMS-I.B.</t>
  </si>
  <si>
    <t>ImpactClaim.id</t>
  </si>
  <si>
    <t>CDM - AMS-I.C.</t>
  </si>
  <si>
    <t>ImpactClaim.aimId</t>
  </si>
  <si>
    <t>CDM - AMS-I.D.</t>
  </si>
  <si>
    <t>ImpactClaim.processedClaimId</t>
  </si>
  <si>
    <t>CDM - AMS-I.E.</t>
  </si>
  <si>
    <t>ImpactClaim.unit</t>
  </si>
  <si>
    <t>CDM - AMS-I.F.</t>
  </si>
  <si>
    <t>CDM - AMS-I.G.</t>
  </si>
  <si>
    <t>ImpactClaim.coBenefits</t>
  </si>
  <si>
    <t>CDM - AMS-I.H.</t>
  </si>
  <si>
    <t>ImpactClaim.checkpoints</t>
  </si>
  <si>
    <t>CDM - AMS-I.I.</t>
  </si>
  <si>
    <t>ImpactClaim.mrvExtensions</t>
  </si>
  <si>
    <t>CDM - AMS-I.J.</t>
  </si>
  <si>
    <t>ImpactClaim.activityImpactModule</t>
  </si>
  <si>
    <t>CDM - AMS-I.K.</t>
  </si>
  <si>
    <t>ImpactClaimCheckpoint.id</t>
  </si>
  <si>
    <t>CDM - AMS-I.L.</t>
  </si>
  <si>
    <t>ImpactClaimCheckpoint.claimId</t>
  </si>
  <si>
    <t>CDM - AMS-I.M.</t>
  </si>
  <si>
    <t>ImpactClaimCheckpoint.claimSourceIds</t>
  </si>
  <si>
    <t>CDM - AMS-II.A.</t>
  </si>
  <si>
    <t>ImpactClaimCheckpoint.projectDeveloperId</t>
  </si>
  <si>
    <t>CDM - AMS-II.B.</t>
  </si>
  <si>
    <t>CDM - AMS-II.C.</t>
  </si>
  <si>
    <t>CDM - AMS-II.D.</t>
  </si>
  <si>
    <t>ImpactClaimCheckpoint.checkpointDateRange</t>
  </si>
  <si>
    <t>CDM - AMS-II.E.</t>
  </si>
  <si>
    <t>ImpactClaimCheckpoint.verifiedLinkToCheckpointData</t>
  </si>
  <si>
    <t>CDM - AMS-II.F.</t>
  </si>
  <si>
    <t>ImpactClaimCheckpoint.mrvExtensions</t>
  </si>
  <si>
    <t>CDM - AMS-II.G.</t>
  </si>
  <si>
    <t>ImpactClaimCheckpoint.spanDataPackage</t>
  </si>
  <si>
    <t>CDM - AMS-II.H.</t>
  </si>
  <si>
    <t>MRVRequirements.measurementSpecification</t>
  </si>
  <si>
    <t>CDM - AMS-II.I.</t>
  </si>
  <si>
    <t>MRVRequirements.specificationLink</t>
  </si>
  <si>
    <t>CDM - AMS-II.J.</t>
  </si>
  <si>
    <t>MRVRequirements.precision</t>
  </si>
  <si>
    <t>CDM - AMS-II.K.</t>
  </si>
  <si>
    <t>MRVRequirements.claimPeriod</t>
  </si>
  <si>
    <t>CDM - AMS-II.L.</t>
  </si>
  <si>
    <t>Manifest.id</t>
  </si>
  <si>
    <t>CDM - AMS-II.M.</t>
  </si>
  <si>
    <t>Manifest.version</t>
  </si>
  <si>
    <t>CDM - AMS-II.N.</t>
  </si>
  <si>
    <t>Manifest.aimId</t>
  </si>
  <si>
    <t>CDM - AMS-II.O.</t>
  </si>
  <si>
    <t>Manifest.claimId</t>
  </si>
  <si>
    <t>CDM - AMS-II.P.</t>
  </si>
  <si>
    <t>Manifest.projectDeveloperId</t>
  </si>
  <si>
    <t>CDM - AMS-II.Q.</t>
  </si>
  <si>
    <t>Manifest.created</t>
  </si>
  <si>
    <t>CDM - AMS-II.R.</t>
  </si>
  <si>
    <t>Manifest.mrvExtensions</t>
  </si>
  <si>
    <t>CDM - AMS-II.S.</t>
  </si>
  <si>
    <t>Manifest.sdpFiles</t>
  </si>
  <si>
    <t>CDM - AMS-II.T.</t>
  </si>
  <si>
    <t>MitigationActivity.category</t>
  </si>
  <si>
    <t>CDM - AMS-III.A.</t>
  </si>
  <si>
    <t>MitigationActivity.method</t>
  </si>
  <si>
    <t>CDM - AMS-III.B.</t>
  </si>
  <si>
    <t>MrvExtension.mrvExtensionContext</t>
  </si>
  <si>
    <t>CDM - AMS-III.C.</t>
  </si>
  <si>
    <t>MrvExtension.typedExtension</t>
  </si>
  <si>
    <t>CDM - AMS-III.D.</t>
  </si>
  <si>
    <t>MrvExtension.untypedExtension</t>
  </si>
  <si>
    <t>CDM - AMS-III.E.</t>
  </si>
  <si>
    <t>MrvExtension.extensionCase</t>
  </si>
  <si>
    <t>CDM - AMS-III.F.</t>
  </si>
  <si>
    <t>PACompliance.ca</t>
  </si>
  <si>
    <t>CDM - AMS-III.G.</t>
  </si>
  <si>
    <t>PACompliance.letterOfApproval</t>
  </si>
  <si>
    <t>PrecisionMix.low</t>
  </si>
  <si>
    <t>CDM - AMS-III.I.</t>
  </si>
  <si>
    <t>PrecisionMix.medium</t>
  </si>
  <si>
    <t>CDM - AMS-III.J.</t>
  </si>
  <si>
    <t>PrecisionMix.high</t>
  </si>
  <si>
    <t>CDM - AMS-III.K.</t>
  </si>
  <si>
    <t>ProcessedClaim.id</t>
  </si>
  <si>
    <t>CDM - AMS-III.L.</t>
  </si>
  <si>
    <t>ProcessedClaim.vpaId</t>
  </si>
  <si>
    <t>CDM - AMS-III.M.</t>
  </si>
  <si>
    <t>ProcessedClaim.impactClaimId</t>
  </si>
  <si>
    <t>CDM - AMS-III.N.</t>
  </si>
  <si>
    <t>ProcessedClaim.creditId</t>
  </si>
  <si>
    <t>CDM - AMS-III.O.</t>
  </si>
  <si>
    <t>ProcessedClaim.unit</t>
  </si>
  <si>
    <t>CDM - AMS-III.P.</t>
  </si>
  <si>
    <t>ProcessedClaim.quantity</t>
  </si>
  <si>
    <t>CDM - AMS-III.Q.</t>
  </si>
  <si>
    <t>ProcessedClaim.coBenefits</t>
  </si>
  <si>
    <t>CDM - AMS-III.R.</t>
  </si>
  <si>
    <t>ProcessedClaim.mrvExtensions</t>
  </si>
  <si>
    <t>CDM - AMS-III.S.</t>
  </si>
  <si>
    <t>ProcessedClaim.checkpointResults</t>
  </si>
  <si>
    <t>CDM - AMS-III.T.</t>
  </si>
  <si>
    <t>ProcessedClaim.issuanceRequest</t>
  </si>
  <si>
    <t>CDM - AMS-III.U.</t>
  </si>
  <si>
    <t>ProcessedClaim.verificationProcessAgreement</t>
  </si>
  <si>
    <t>CDM - AMS-III.V.</t>
  </si>
  <si>
    <t>ProcessedClaim.impactClaim</t>
  </si>
  <si>
    <t>CDM - AMS-III.W.</t>
  </si>
  <si>
    <t>ProcessedClaim.asset</t>
  </si>
  <si>
    <t>CDM - AMS-III.X.</t>
  </si>
  <si>
    <t>Proof.type</t>
  </si>
  <si>
    <t>CDM - AMS-III.Y.</t>
  </si>
  <si>
    <t>Proof.created</t>
  </si>
  <si>
    <t>CDM - AMS-III.Z.</t>
  </si>
  <si>
    <t>Proof.proofPurpose</t>
  </si>
  <si>
    <t>CDM - AMS-III.AA.</t>
  </si>
  <si>
    <t>Proof.verificationMethod</t>
  </si>
  <si>
    <t>CDM - AMS-III.AB.</t>
  </si>
  <si>
    <t>Proof.challenge</t>
  </si>
  <si>
    <t>CDM - AMS-III.AC.</t>
  </si>
  <si>
    <t>Proof.domain</t>
  </si>
  <si>
    <t>CDM - AMS-III.AD.</t>
  </si>
  <si>
    <t>Proof.jws</t>
  </si>
  <si>
    <t>CDM - AMS-III.AE.</t>
  </si>
  <si>
    <t>QualityStandard.name</t>
  </si>
  <si>
    <t>CDM - AMS-III.AF.</t>
  </si>
  <si>
    <t>QualityStandard.description</t>
  </si>
  <si>
    <t>CDM - AMS-III.AG.</t>
  </si>
  <si>
    <t>QualityStandard.standard</t>
  </si>
  <si>
    <t>CDM - AMS-III.AH.</t>
  </si>
  <si>
    <t>CDM - AMS-III.AI.</t>
  </si>
  <si>
    <t>QualityStandard.version</t>
  </si>
  <si>
    <t>CDM - AMS-III.AJ.</t>
  </si>
  <si>
    <t>QualityStandard.coBenefits</t>
  </si>
  <si>
    <t>CDM - AMS-III.AK.</t>
  </si>
  <si>
    <t>QualityStandard.standardLink</t>
  </si>
  <si>
    <t>CDM - AMS-III.AL.</t>
  </si>
  <si>
    <t>REC.id</t>
  </si>
  <si>
    <t>CDM - AMS-III.AM.</t>
  </si>
  <si>
    <t>REC.recType</t>
  </si>
  <si>
    <t>CDM - AMS-III.AN.</t>
  </si>
  <si>
    <t>REC.validJurisdiction</t>
  </si>
  <si>
    <t>CDM - AMS-III.AO.</t>
  </si>
  <si>
    <t>REC.quantity</t>
  </si>
  <si>
    <t>CDM - AMS-III.AP.</t>
  </si>
  <si>
    <t>REC.unit</t>
  </si>
  <si>
    <t>CDM - AMS-III.AQ.</t>
  </si>
  <si>
    <t>REC.ownerId</t>
  </si>
  <si>
    <t>CDM - AMS-III.AR.</t>
  </si>
  <si>
    <t>REC.listingAgentId</t>
  </si>
  <si>
    <t>CDM - AMS-III.AS.</t>
  </si>
  <si>
    <t>REC.climateLabels</t>
  </si>
  <si>
    <t>CDM - AMS-III.AT.</t>
  </si>
  <si>
    <t>REC.status</t>
  </si>
  <si>
    <t>CDM - AMS-III.AU.</t>
  </si>
  <si>
    <t>REC.referencedRec</t>
  </si>
  <si>
    <t>CDM - AMS-III.AV.</t>
  </si>
  <si>
    <t>REC.appliedToId</t>
  </si>
  <si>
    <t>CDM - AMS-III.AW.</t>
  </si>
  <si>
    <t>REC.processedClaimId</t>
  </si>
  <si>
    <t>CDM - AMS-III.AX.</t>
  </si>
  <si>
    <t>REC.issuerId</t>
  </si>
  <si>
    <t>CDM - AMS-III.AY.</t>
  </si>
  <si>
    <t>REC.processedClaim</t>
  </si>
  <si>
    <t>CDM - AMS-III.BA.</t>
  </si>
  <si>
    <t>ReferencedCredit.id</t>
  </si>
  <si>
    <t>CDM - AMS-III.BB.</t>
  </si>
  <si>
    <t>ReferencedRec.id</t>
  </si>
  <si>
    <t>CDM - AMS-III.BC.</t>
  </si>
  <si>
    <t>Replacement.replacesId</t>
  </si>
  <si>
    <t>CDM - AMS-III.BD.</t>
  </si>
  <si>
    <t>Replacement.replacementDate</t>
  </si>
  <si>
    <t>CDM - AMS-III.BE.</t>
  </si>
  <si>
    <t>Replacement.notes</t>
  </si>
  <si>
    <t>CDM - AMS-III.BF.</t>
  </si>
  <si>
    <t>ReversalMitigation.reversalRisk</t>
  </si>
  <si>
    <t>CDM - AMS-III.BG.</t>
  </si>
  <si>
    <t>ReversalMitigation.insuranceType</t>
  </si>
  <si>
    <t>CDM - AMS-III.BH.</t>
  </si>
  <si>
    <t>ReversalMitigation.insurancePolicyOwner</t>
  </si>
  <si>
    <t>CDM - AMS-III.BI.</t>
  </si>
  <si>
    <t>ReversalMitigation.insurancePolicyLink</t>
  </si>
  <si>
    <t>CDM - AMS-III.BJ.</t>
  </si>
  <si>
    <t>SdpFile.name</t>
  </si>
  <si>
    <t>CDM - AMS-III.BK.</t>
  </si>
  <si>
    <t>SdpFile.type</t>
  </si>
  <si>
    <t>CDM - AMS-III.BL.</t>
  </si>
  <si>
    <t>SdpFile.description</t>
  </si>
  <si>
    <t>CDM - AMS-III.BM.</t>
  </si>
  <si>
    <t>SdpFile.claimSourceId</t>
  </si>
  <si>
    <t>CDM - AMS-III.BN.</t>
  </si>
  <si>
    <t>SdpFile.claimSourceAttestation</t>
  </si>
  <si>
    <t>CDM - AMS-III.BO.</t>
  </si>
  <si>
    <t>SdpFile.mrvExtensions</t>
  </si>
  <si>
    <t>CDM - AMS-III.BP.</t>
  </si>
  <si>
    <t>Signatory.id</t>
  </si>
  <si>
    <t>CDM - AR-AM0014</t>
  </si>
  <si>
    <t>Signatory.name</t>
  </si>
  <si>
    <t xml:space="preserve">CDM - AR-AMS0003 </t>
  </si>
  <si>
    <t>Signatory.description</t>
  </si>
  <si>
    <t>CDM - AR-AMS0007</t>
  </si>
  <si>
    <t>Signatory.signatoryRole</t>
  </si>
  <si>
    <t>CDM - ACM0001</t>
  </si>
  <si>
    <t>Signatory.signature</t>
  </si>
  <si>
    <t>CDM - ACM0002</t>
  </si>
  <si>
    <t>SpanDataPackage.manifest</t>
  </si>
  <si>
    <t>CDM - ACM0003</t>
  </si>
  <si>
    <t>Tag.name</t>
  </si>
  <si>
    <t>CDM - ACM0004</t>
  </si>
  <si>
    <t>Tag.context</t>
  </si>
  <si>
    <t>CDM - ACM0005</t>
  </si>
  <si>
    <t>Tag.description</t>
  </si>
  <si>
    <t>CDM - ACM0006</t>
  </si>
  <si>
    <t>Tag.data</t>
  </si>
  <si>
    <t>CDM - ACM0007</t>
  </si>
  <si>
    <t>Timestamp.seconds</t>
  </si>
  <si>
    <t>CDM - ACM0008</t>
  </si>
  <si>
    <t>Timestamp.nanos</t>
  </si>
  <si>
    <t>CDM - ACM0009</t>
  </si>
  <si>
    <t>TypedExtension.dataSchema</t>
  </si>
  <si>
    <t>CDM - ACM0010</t>
  </si>
  <si>
    <t>TypedExtension.documentation</t>
  </si>
  <si>
    <t>CDM - ACM0011</t>
  </si>
  <si>
    <t>TypedExtension.data</t>
  </si>
  <si>
    <t>CDM - ACM0012</t>
  </si>
  <si>
    <t>UntypedExtension.name</t>
  </si>
  <si>
    <t>CDM - ACM0013</t>
  </si>
  <si>
    <t>UntypedExtension.version</t>
  </si>
  <si>
    <t>CDM - ACM0014</t>
  </si>
  <si>
    <t>UntypedExtension.description</t>
  </si>
  <si>
    <t>CDM - ACM0015</t>
  </si>
  <si>
    <t>UntypedExtension.documentation</t>
  </si>
  <si>
    <t>CDM - ACM0016</t>
  </si>
  <si>
    <t>UntypedExtension.dataExtensions</t>
  </si>
  <si>
    <t>CDM - ACM0017</t>
  </si>
  <si>
    <t>Validation.validationDate</t>
  </si>
  <si>
    <t>CDM - ACM0018</t>
  </si>
  <si>
    <t>Validation.validatingPartyId</t>
  </si>
  <si>
    <t>CDM - ACM0019</t>
  </si>
  <si>
    <t>Validation.validationMethod</t>
  </si>
  <si>
    <t>CDM - ACM0020</t>
  </si>
  <si>
    <t>Validation.validationExpirationDate</t>
  </si>
  <si>
    <t>CDM - ACM0021</t>
  </si>
  <si>
    <t>Validation.validationSteps</t>
  </si>
  <si>
    <t>CDM - ACM0022</t>
  </si>
  <si>
    <t>ValidationStep.validationStepName</t>
  </si>
  <si>
    <t>CDM - ACM0023</t>
  </si>
  <si>
    <t>ValidationStep.validationStepDescription</t>
  </si>
  <si>
    <t>CDM - ACM0024</t>
  </si>
  <si>
    <t>ValidationStep.validationStepStatus</t>
  </si>
  <si>
    <t>CDM - ACM0025</t>
  </si>
  <si>
    <t>ValidationStep.validationStepDocumentLink</t>
  </si>
  <si>
    <t>CDM - ACM0026</t>
  </si>
  <si>
    <t>VerificationProcessAgreement.id</t>
  </si>
  <si>
    <t>CDM - TOOL 1</t>
  </si>
  <si>
    <t>VerificationProcessAgreement.name</t>
  </si>
  <si>
    <t>CDM - TOOL 2</t>
  </si>
  <si>
    <t>VerificationProcessAgreement.description</t>
  </si>
  <si>
    <t>CDM - TOOL 3</t>
  </si>
  <si>
    <t>VerificationProcessAgreement.signatories</t>
  </si>
  <si>
    <t>CDM - TOOL 4</t>
  </si>
  <si>
    <t>VerificationProcessAgreement.qualityStandard</t>
  </si>
  <si>
    <t>CDM - TOOL 5</t>
  </si>
  <si>
    <t>VerificationProcessAgreement.mrvRequirements</t>
  </si>
  <si>
    <t>CDM - TOOL 6</t>
  </si>
  <si>
    <t>VerificationProcessAgreement.agreementDate</t>
  </si>
  <si>
    <t>CDM - TOOL 7</t>
  </si>
  <si>
    <t>VerificationProcessAgreement.estimatedAnnualCredits</t>
  </si>
  <si>
    <t>CDM - TOOL 8</t>
  </si>
  <si>
    <t>VerificationProcessAgreement.aimId</t>
  </si>
  <si>
    <t>CDM - TOOL 9</t>
  </si>
  <si>
    <t>VerificationProcessAgreement.auditSchedule</t>
  </si>
  <si>
    <t>CDM - TOOL 10</t>
  </si>
  <si>
    <t>VerificationProcessAgreement.audits</t>
  </si>
  <si>
    <t>CDM - TOOL 11</t>
  </si>
  <si>
    <t>VerificationProcessAgreement.activityImpactModule</t>
  </si>
  <si>
    <t>CDM - TOOL 12</t>
  </si>
  <si>
    <t>VerificationProcessAgreement.processedClaims</t>
  </si>
  <si>
    <t>CDM - TOOL 13</t>
  </si>
  <si>
    <t>VerifiedLink.id</t>
  </si>
  <si>
    <t>CDM - TOOL 14</t>
  </si>
  <si>
    <t>VerifiedLink.uri</t>
  </si>
  <si>
    <t>CDM - TOOL 15</t>
  </si>
  <si>
    <t>VerifiedLink.description</t>
  </si>
  <si>
    <t>CDM - TOOL 16</t>
  </si>
  <si>
    <t>VerifiedLink.hashProof</t>
  </si>
  <si>
    <t>CDM - TOOL 17</t>
  </si>
  <si>
    <t>VerifiedLink.hashAlgorithm</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</si>
  <si>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</si>
  <si>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</si>
  <si>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</si>
  <si>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</si>
  <si>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</si>
  <si>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</si>
  <si>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</si>
  <si>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</si>
  <si>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</si>
  <si>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</si>
  <si>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</si>
  <si>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</si>
  <si>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</si>
  <si>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</si>
  <si>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</si>
  <si>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</si>
  <si>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</si>
  <si>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</si>
  <si>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</si>
  <si>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</si>
  <si>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</si>
  <si>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</si>
  <si>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</si>
  <si>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</si>
  <si>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</si>
  <si>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</si>
  <si>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</si>
  <si>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</si>
  <si>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</si>
  <si>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</si>
  <si>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</si>
  <si>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</si>
  <si>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</si>
  <si>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</si>
  <si>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</si>
  <si>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</si>
  <si>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</si>
  <si>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</si>
  <si>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</si>
  <si>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</si>
  <si>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</si>
  <si>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</si>
  <si>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</si>
  <si>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</si>
  <si>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</si>
  <si>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</si>
  <si>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</si>
  <si>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</si>
  <si>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</si>
  <si>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</si>
  <si>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</si>
  <si>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</si>
  <si>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</si>
  <si>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</si>
  <si>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</si>
  <si>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</si>
  <si>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</si>
  <si>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</si>
  <si>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</si>
  <si>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</si>
  <si>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</si>
  <si>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</si>
  <si>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</si>
  <si>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</si>
  <si>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</si>
  <si>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</si>
  <si>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</si>
  <si>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</si>
  <si>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</si>
  <si>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</si>
  <si>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</si>
  <si>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</si>
  <si>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</si>
  <si>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</si>
  <si>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</si>
  <si>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</si>
  <si>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</si>
  <si>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</si>
  <si>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</si>
  <si>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</si>
  <si>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</si>
  <si>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</si>
  <si>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</si>
  <si>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</si>
  <si>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</si>
  <si>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</si>
  <si>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</si>
  <si>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</si>
  <si>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</si>
  <si>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</si>
  <si>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</si>
  <si>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</si>
  <si>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</si>
  <si>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</si>
  <si>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</si>
  <si>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</si>
  <si>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</si>
  <si>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</si>
  <si>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</si>
  <si>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</si>
  <si>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</si>
  <si>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</si>
  <si>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</si>
  <si>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</si>
  <si>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</si>
  <si>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</si>
  <si>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</si>
  <si>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</si>
  <si>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</si>
  <si>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</si>
  <si>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</si>
  <si>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</si>
  <si>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</si>
  <si>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</si>
  <si>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</si>
  <si>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</si>
  <si>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</si>
  <si>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</si>
  <si>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</si>
  <si>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</si>
  <si>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</si>
  <si>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</si>
  <si>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</si>
  <si>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</si>
  <si>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</si>
  <si>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</si>
  <si>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</si>
  <si>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</si>
  <si>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</si>
  <si>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</si>
  <si>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</si>
  <si>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</si>
  <si>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</si>
  <si>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</si>
  <si>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</si>
  <si>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</si>
  <si>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</si>
  <si>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</si>
  <si>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</si>
  <si>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</si>
  <si>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</si>
  <si>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</si>
  <si>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</si>
  <si>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</si>
  <si>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</si>
  <si>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</si>
  <si>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</si>
  <si>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</si>
  <si>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</si>
  <si>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</si>
  <si>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</si>
  <si>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</si>
  <si>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</si>
  <si>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</si>
  <si>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</si>
  <si>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</si>
  <si>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</si>
  <si>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</si>
  <si>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</si>
  <si>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</si>
  <si>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</si>
  <si>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</si>
  <si>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</si>
  <si>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</si>
  <si>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</si>
  <si>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</si>
  <si>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</si>
  <si>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</si>
  <si>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</si>
  <si>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</si>
  <si>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</si>
  <si>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</si>
  <si>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</si>
  <si>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</si>
  <si>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</si>
  <si>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</si>
  <si>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</si>
  <si>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</si>
  <si>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</si>
  <si>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</si>
  <si>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</si>
  <si>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</si>
  <si>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</si>
  <si>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</si>
  <si>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</si>
  <si>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</si>
  <si>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</si>
  <si>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</si>
  <si>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</si>
  <si>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</si>
  <si>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</si>
  <si>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</si>
  <si>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</si>
  <si>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</si>
  <si>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</si>
  <si>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</si>
  <si>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</si>
  <si>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</si>
  <si>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</si>
  <si>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</si>
  <si>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</si>
  <si>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</si>
  <si>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</si>
  <si>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</si>
  <si>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</si>
  <si>
    <t>Type of wastewater treatment and discharge pathway or system</t>
  </si>
  <si>
    <t>MCF value</t>
  </si>
  <si>
    <t>Discharge of wastewater to sea, river or lake</t>
  </si>
  <si>
    <t>Land application</t>
  </si>
  <si>
    <t>Aerobic treatment, well managed</t>
  </si>
  <si>
    <t>Aerobic treatment, poorly managed or overloaded</t>
  </si>
  <si>
    <t>Anaerobic digester for sludge without methane recovery</t>
  </si>
  <si>
    <t>Anaerobic reactor without methane recovery</t>
  </si>
  <si>
    <t>Anaerobic shallow lagoon (depth less than 2 metres)</t>
  </si>
  <si>
    <t>Anaerobic deep lagoon (depth more than 2 metres)</t>
  </si>
  <si>
    <t>Septic system</t>
  </si>
  <si>
    <t>Land application(a)</t>
  </si>
  <si>
    <t>Sample Answer</t>
  </si>
  <si>
    <t>Required Tools</t>
  </si>
  <si>
    <t>What is the flow of wastewater in m3/month?</t>
  </si>
  <si>
    <t>1000 m3/month</t>
  </si>
  <si>
    <t>Flow meter</t>
  </si>
  <si>
    <t>CODww,untreated,y, CODww,treated,y, CODww,discharge,PJ,y</t>
  </si>
  <si>
    <t>What is the chemical oxygen demand of the wastewater before and after treatment, and discharged in t COD/m3?</t>
  </si>
  <si>
    <t>0.5 t COD/m3</t>
  </si>
  <si>
    <t>COD measurement according to national or international standards</t>
  </si>
  <si>
    <t>Sl,PJ,y, Sfinal,PJ,y</t>
  </si>
  <si>
    <t>What is the amount of dry matter in the sludge produced in tonnes?</t>
  </si>
  <si>
    <t>100 tonnes</t>
  </si>
  <si>
    <t>Measurement of total quantity of sludge (volume and density or direct weighing) and representative samples for moisture content</t>
  </si>
  <si>
    <t>What is the biogas volume flared/combusted (in m3)?</t>
  </si>
  <si>
    <t>5000 m3</t>
  </si>
  <si>
    <t>Continuous flow meters</t>
  </si>
  <si>
    <t>What is the methane content of the biogas in volume fraction?</t>
  </si>
  <si>
    <t>Continuous gas analyzer or periodical measurements at 90/10 confidence/precision level</t>
  </si>
  <si>
    <t>T</t>
  </si>
  <si>
    <t>What is the temperature of the biogas in °C?</t>
  </si>
  <si>
    <t>35°C</t>
  </si>
  <si>
    <t>Temperature sensor</t>
  </si>
  <si>
    <t>P</t>
  </si>
  <si>
    <t>What is the pressure of the biogas in Pa?</t>
  </si>
  <si>
    <t>101325 Pa</t>
  </si>
  <si>
    <t>Pressure sensor</t>
  </si>
  <si>
    <t>As per "Project emissions from flaring" tool</t>
  </si>
  <si>
    <t>What are the emissions from electricity/fuel use by project in tCO2e?</t>
  </si>
  <si>
    <t>100 tCO2e</t>
  </si>
  <si>
    <t>Tool to calculate baseline, project and/or leakage emissions from electricity consumption and/or "Tool to calculate project or leakage CO2 emissions from fossil fuel combustion"</t>
  </si>
  <si>
    <t>What are the methane emissions from biomass stored under anaerobic conditions in tCO2e?</t>
  </si>
  <si>
    <t>10 tCO2e</t>
  </si>
  <si>
    <t>Emissions from solid waste disposal sites tool</t>
  </si>
  <si>
    <t>Required Tools/Equation Number</t>
  </si>
  <si>
    <t>BEinjection,y</t>
  </si>
  <si>
    <t>What are the baseline emissions for injection of upgraded biogas in year y? (TJ)</t>
  </si>
  <si>
    <t>Eug,y</t>
  </si>
  <si>
    <t>What is the energy delivered from upgraded biogas to the natural gas grid in year y?</t>
  </si>
  <si>
    <t>CEFNG</t>
  </si>
  <si>
    <t>What is the carbon emission factor for natural gas?(tCO2e/TJ)</t>
  </si>
  <si>
    <t>What is the energy delivered from upgraded biogas to the grid in year y?</t>
  </si>
  <si>
    <t>Equation 2</t>
  </si>
  <si>
    <t>Qug,y</t>
  </si>
  <si>
    <t>What is the quantity of upgraded biogas displacing natural gas in year y?(m3)</t>
  </si>
  <si>
    <t>NCVug,y</t>
  </si>
  <si>
    <t>What is the net calorific value of upgraded biogas in year y?(TJ/m3)</t>
  </si>
  <si>
    <t>What is the quantity of upgraded biogas displacing natural gas in year y?</t>
  </si>
  <si>
    <t>Equation 3</t>
  </si>
  <si>
    <t>Qug,in,y</t>
  </si>
  <si>
    <t>What is the quantity of upgraded biogas injected in year y?(m3)</t>
  </si>
  <si>
    <t>Qcap,CH4,y</t>
  </si>
  <si>
    <t>What is the quantity of methane captured in year y?</t>
  </si>
  <si>
    <t>Equation 4</t>
  </si>
  <si>
    <t>wCH4,ww</t>
  </si>
  <si>
    <t>What is the methane fraction in biogas? (kg/kg)</t>
  </si>
  <si>
    <t>Qcap,biogas,y</t>
  </si>
  <si>
    <t>What is the quantity of biogas captured in year y? (kg)</t>
  </si>
  <si>
    <t>PEprocess,y</t>
  </si>
  <si>
    <t>What are the project emissions from biogas upgrading and compression in year y?</t>
  </si>
  <si>
    <t>PEpower,upgrade,y</t>
  </si>
  <si>
    <t>What are the CO2 emissions from upgrading facilities in year y? (tCO2e)</t>
  </si>
  <si>
    <t>PEww,upgrade,y</t>
  </si>
  <si>
    <t>What are the methane emissions from upgrading wastewater discharge in year y?</t>
  </si>
  <si>
    <t>Equation 6</t>
  </si>
  <si>
    <t>Qww,upgrade,y</t>
  </si>
  <si>
    <t>What is the volume of wastewater discharge from upgrading in year y?(m3)</t>
  </si>
  <si>
    <t>[CH4]ww,upgrade,y</t>
  </si>
  <si>
    <t>What is the methane concentration in the wastewater discharge?(t/m3)</t>
  </si>
  <si>
    <t>What is the global warming potential for methane?</t>
  </si>
  <si>
    <t>PECH4,equip,y</t>
  </si>
  <si>
    <t>What are the methane emissions from compressor leaks in year y?</t>
  </si>
  <si>
    <t>[CLICK TO ADD EQUIPMENT]</t>
  </si>
  <si>
    <t>wCH4,stream,y</t>
  </si>
  <si>
    <t>What is the methane concentration in the gas stream?(kg/kg)</t>
  </si>
  <si>
    <t>Tequipment,y</t>
  </si>
  <si>
    <t>What is the operation time of the equipment I in year y?(hours)</t>
  </si>
  <si>
    <t>EFequipment</t>
  </si>
  <si>
    <t>What is the leakage rate per compressor? (kg/hr)</t>
  </si>
  <si>
    <t>What is the operation time of the equipment II in year y?(hours)</t>
  </si>
  <si>
    <t>PEventgas,y</t>
  </si>
  <si>
    <t>What are the emissions from vent gases in year y?</t>
  </si>
  <si>
    <t>[SUM UP FOR WHOLE YEAR, h = 8760]</t>
  </si>
  <si>
    <t>TMRG,h</t>
  </si>
  <si>
    <t>What is the methane flow rate in vent gas in hour h=2? (kg/hr)</t>
  </si>
  <si>
    <t>ηflare,h</t>
  </si>
  <si>
    <t>What is the flare efficiency in hour h=2?</t>
  </si>
  <si>
    <t>What is the methane flow rate in vent gas in hour h=3?(kg/hr)</t>
  </si>
  <si>
    <t>What is the flare efficiency in hour h=3?</t>
  </si>
  <si>
    <t>PEleakage,pipeline,y</t>
  </si>
  <si>
    <t>What are the emissions due to physical leakage from the dedicated piped network in year y? (t CO2e)</t>
  </si>
  <si>
    <t>Optional(Only for Scenario 4 c(II) in project activities)</t>
  </si>
  <si>
    <t>Qmethane,pipeline,y</t>
  </si>
  <si>
    <t>Total quantity of methane transported in the dedicated piped
network in year y (m3)</t>
  </si>
  <si>
    <t>LRpipeline</t>
  </si>
  <si>
    <t>Physical leakage rate from the dedicated piped network</t>
  </si>
  <si>
    <t>if no project-specific values can be identified a conservative default value of 0.0125 Gg per 106 m3 of utility sales shall be applied</t>
  </si>
  <si>
    <t>LEbottling,y</t>
  </si>
  <si>
    <t>What are the leakage emissions from bottling biogas in year y?</t>
  </si>
  <si>
    <t>LEleakage,bb,y</t>
  </si>
  <si>
    <t>What are the leakage emissions from biogas bottles in year y?</t>
  </si>
  <si>
    <t>Qmethane,bb,y</t>
  </si>
  <si>
    <t>What is the quantity of bottled methane in year y?(m3)</t>
  </si>
  <si>
    <t>LRbb</t>
  </si>
  <si>
    <t>What is the physical leakage rate from bottles?</t>
  </si>
  <si>
    <t>LEtrans,y</t>
  </si>
  <si>
    <t>What are the emissions from transporting biogas bottles in year y?</t>
  </si>
  <si>
    <t>Qbb,y</t>
  </si>
  <si>
    <t>What is the volume of bottled biogas transported in year y? (m3)</t>
  </si>
  <si>
    <t>CTbb,y</t>
  </si>
  <si>
    <t>What is the truck capacity for transporting bottled biogas? (m3/truck)</t>
  </si>
  <si>
    <t>DAFbb</t>
  </si>
  <si>
    <t>What is the average distance for transporting biogas bottles? (km/truck)</t>
  </si>
  <si>
    <t>What is the CO2 emission factor from transportation?(tCO2/km)</t>
  </si>
  <si>
    <t>Methane emission factors for equipments</t>
  </si>
  <si>
    <t>Equipment type</t>
  </si>
  <si>
    <t>Emission factor (kg/hour/source) for methane</t>
  </si>
  <si>
    <t>Valves</t>
  </si>
  <si>
    <t>4.5E-0.3</t>
  </si>
  <si>
    <t>Pump seals</t>
  </si>
  <si>
    <t>2.4E-0.3</t>
  </si>
  <si>
    <t>Others</t>
  </si>
  <si>
    <t>8.8E-0.3</t>
  </si>
  <si>
    <t>Connectors</t>
  </si>
  <si>
    <t>2.0E-0.4</t>
  </si>
  <si>
    <t>Flangs</t>
  </si>
  <si>
    <t>3.9E-0.4</t>
  </si>
  <si>
    <t>Open Ended Lines</t>
  </si>
  <si>
    <t>2.0E-0.3</t>
  </si>
  <si>
    <t>Equation Number</t>
  </si>
  <si>
    <t>LHS Parameter</t>
  </si>
  <si>
    <t>Equation</t>
  </si>
  <si>
    <t>BEinjection,y = Eug,y x CEFNG</t>
  </si>
  <si>
    <t>Eug,y = Qug,y x NCVug,y</t>
  </si>
  <si>
    <t>Qug,y = min(Qug,in,y, Qcap,CH4,y)</t>
  </si>
  <si>
    <t>Qcap,CH4,y = wCH4,ww x Qcap,biogas,y</t>
  </si>
  <si>
    <t>PEprocess,y = PEpower,upgrade,y + PEww,upgrade,y + PECH4,equip,y + PEventgas,y + PEleakage,pipeline,y(optional)</t>
  </si>
  <si>
    <t>PEww,upgrade,y = Qww,upgrade,y x [CH4]ww,upgrade,y x GWPCH4</t>
  </si>
  <si>
    <t>Equation 7</t>
  </si>
  <si>
    <t>PECH4,equip,y = GWPCH4 x (1/1000) x ΣwCH4,stream,y x EFequipment x Tequipment,y</t>
  </si>
  <si>
    <t>PEventgas,y = ΣTMRG,h x (1 - ηflare,h) x GWPCH4/1000</t>
  </si>
  <si>
    <t>PEventgas,y = ΣTMRG,h x GWPCH4/1000</t>
  </si>
  <si>
    <t>PEleakage,pipeline,y = Qmethane,pipeline,y x LRpipeline x GWPCH4</t>
  </si>
  <si>
    <t>LEbottling,y = LEleakage,bb,y + LEtrans,y</t>
  </si>
  <si>
    <t>LEleakage,bb,y = Qmethane,bb,y x LRbb x GWPCH4</t>
  </si>
  <si>
    <t>LEtrans,y = (Qbb,y/CTbb,y) x DAFbb x EFCO2</t>
  </si>
  <si>
    <t>BEy = BEpower,y + BEww,treatment,y + BEs,treatment,y + BEww,discharge,y + BEs,final,y</t>
  </si>
  <si>
    <t>BEww,treatment,y = ∑(Qww,i,y ×CODinflow,i,y ×ηCOD,BL,i ×MCFww,treatment,BL,i)×Bo,ww ×UFBL ×GWPCH4</t>
  </si>
  <si>
    <t>BEtreatment,s,y</t>
  </si>
  <si>
    <t>BEtreatment,s,y = ∑ Sj,BL,y ×MCFs,treatment,BL,j ×DOCs ×UFBL ×DOCF ×F×16/12×GWPCH4</t>
  </si>
  <si>
    <t>BEs,treatment,y = ∑ Sj,BL,y x EFcomposting x GWPCH4</t>
  </si>
  <si>
    <t>Sj,BL,y</t>
  </si>
  <si>
    <t>Sj,BL,y = Sl,PJ,y x SGRBL/SGRPJ</t>
  </si>
  <si>
    <t>BEww,discharge,y = Qww,y ×GWPCH4 ×Bo,ww ×UFBL ×CODww,discharge,BL,y ×MCFww,BL,discharge</t>
  </si>
  <si>
    <t>BEs,final,y = Sfinal,BL,y ×DOCs ×UFBL ×MCFs,BL,final ×DOCF ×F×16/12 x GWPCH4</t>
  </si>
  <si>
    <t>PEy = PEpower,y + PEww,treatment,y + PEs,treatment,y + PEww,discharge,y + PEs,final,y + PEfugitive,y + PEbiomass,y + PEflaring,y</t>
  </si>
  <si>
    <t>PEfugitive,y = PEfugitive,ww,y + PEfugitive,s,y</t>
  </si>
  <si>
    <t>PEfugitive,ww,y = (1 − CFEww)×MEPww,treatment,y ×GWPCH4</t>
  </si>
  <si>
    <t>MEPww,treatment,y = Qww,y ×Bo,ww ×UFPJ × ∑ CODremoved,PJ,k,y ×MCFww,treatment,PJ,k</t>
  </si>
  <si>
    <t>PEfugitive,s,y = (1 − CFEs)×MEPs,treatment,y ×GWPCH4</t>
  </si>
  <si>
    <t>MEPs,treatment,y = ∑(Sl,PJ,y ×MCFs,treatment,PJ,l) ×DOCs ×UFPJ ×DOCF ×F×16/12</t>
  </si>
  <si>
    <t>ERy,ex ante = BEy,ex ante - (PEy,ex ante + LEy,ex ante)</t>
  </si>
  <si>
    <t>ERy = MIN((BEy,ex post - PEy,ex post - LEy,ex post), (MDy - PEpower,y - PEbiomass,y - LEy,ex post))</t>
  </si>
  <si>
    <t>MDy = BGburnt,y x wCH4,y x DCH4 x FE x GWPCH4</t>
  </si>
  <si>
    <t>ERy = BEy,ex post - (PEy,ex post + LEy,ex 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</si>
</sst>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3">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sz val="12"/>
      <color rgb="FF000000"/>
      <name val="Calibri"/>
      <family val="2"/>
    </font>
    <font>
      <b/>
      <sz val="11"/>
      <color theme="1"/>
      <name val="Calibri"/>
      <family val="2"/>
      <scheme val="minor"/>
    </font>
    <font>
      <sz val="11"/>
      <color rgb="FF000000"/>
      <name val="Calibri"/>
      <family val="2"/>
    </font>
    <font>
      <sz val="11"/>
      <color rgb="FF1C1917"/>
      <name val="Calibri"/>
      <family val="2"/>
      <scheme val="minor"/>
    </font>
    <font>
      <b/>
      <sz val="11"/>
      <color rgb="FF000000"/>
      <name val="Calibri"/>
      <family val="2"/>
    </font>
    <font>
      <sz val="10"/>
      <color theme="1"/>
      <name val="ArialMT"/>
      <charset val="1"/>
    </font>
    <font>
      <sz val="10"/>
      <color theme="1"/>
      <name val="Arial"/>
      <family val="2"/>
    </font>
    <font>
      <b/>
      <sz val="10"/>
      <color theme="1"/>
      <name val="Calibri"/>
      <family val="2"/>
      <scheme val="minor"/>
    </font>
    <font>
      <b/>
      <sz val="10"/>
      <color rgb="FF000000"/>
      <name val="Calibri"/>
      <family val="2"/>
      <scheme val="minor"/>
    </font>
    <font>
      <b/>
      <i/>
      <sz val="10"/>
      <color rgb="FF000000"/>
      <name val="Arial"/>
      <family val="2"/>
    </font>
    <font>
      <b/>
      <i/>
      <sz val="10"/>
      <name val="Arial"/>
      <family val="2"/>
    </font>
    <font>
      <b/>
      <sz val="14"/>
      <color rgb="FF000000"/>
      <name val="Calibri"/>
      <family val="2"/>
      <scheme val="minor"/>
    </font>
    <font>
      <b/>
      <sz val="16"/>
      <color rgb="FF000000"/>
      <name val="Calibri"/>
      <family val="2"/>
      <scheme val="minor"/>
    </font>
    <font>
      <sz val="18"/>
      <color rgb="FF000000"/>
      <name val="Calibri"/>
      <family val="2"/>
      <scheme val="minor"/>
    </font>
    <font>
      <vertAlign val="subscript"/>
      <sz val="18"/>
      <color rgb="FF000000"/>
      <name val="Calibri"/>
      <family val="2"/>
      <scheme val="minor"/>
    </font>
    <font>
      <sz val="18"/>
      <color theme="1"/>
      <name val="Calibri"/>
      <family val="2"/>
      <scheme val="minor"/>
    </font>
    <font>
      <b/>
      <u/>
      <sz val="11"/>
      <color rgb="FF000000"/>
      <name val="Calibri"/>
      <family val="2"/>
      <scheme val="minor"/>
    </font>
    <font>
      <vertAlign val="subscript"/>
      <sz val="18"/>
      <color theme="1"/>
      <name val="Calibri"/>
      <family val="2"/>
      <scheme val="minor"/>
    </font>
    <font>
      <i/>
      <sz val="16"/>
      <color rgb="FF000000"/>
      <name val="Calibri"/>
      <family val="2"/>
      <scheme val="minor"/>
    </font>
    <font>
      <sz val="10"/>
      <name val="Arial"/>
      <family val="2"/>
    </font>
    <font>
      <sz val="12"/>
      <color rgb="FF000000"/>
      <name val="Calibri"/>
      <family val="2"/>
      <scheme val="minor"/>
    </font>
    <font>
      <b/>
      <sz val="12"/>
      <color rgb="FF000000"/>
      <name val="Calibri"/>
      <family val="2"/>
      <scheme val="minor"/>
    </font>
    <font>
      <sz val="16"/>
      <color rgb="FF000000"/>
      <name val="Calibri"/>
      <family val="2"/>
      <scheme val="minor"/>
    </font>
    <font>
      <sz val="14"/>
      <color theme="1"/>
      <name val="Calibri"/>
      <family val="2"/>
      <scheme val="minor"/>
    </font>
    <font>
      <vertAlign val="superscript"/>
      <sz val="11"/>
      <color theme="1"/>
      <name val="Calibri"/>
      <family val="2"/>
      <scheme val="minor"/>
    </font>
    <font>
      <b/>
      <sz val="14"/>
      <color theme="1"/>
      <name val="Calibri"/>
      <family val="2"/>
      <scheme val="minor"/>
    </font>
    <font>
      <b/>
      <i/>
      <sz val="11"/>
      <color theme="1"/>
      <name val="Calibri"/>
      <family val="2"/>
      <scheme val="minor"/>
    </font>
    <font>
      <sz val="14"/>
      <color rgb="FF000000"/>
      <name val="Calibri"/>
      <family val="2"/>
      <scheme val="minor"/>
    </font>
    <font>
      <sz val="11"/>
      <name val="Calibri"/>
      <family val="2"/>
      <scheme val="minor"/>
    </font>
    <font>
      <sz val="20"/>
      <color theme="1"/>
      <name val="Calibri"/>
      <family val="2"/>
      <scheme val="minor"/>
    </font>
    <font>
      <vertAlign val="subscript"/>
      <sz val="20"/>
      <color theme="1"/>
      <name val="Calibri"/>
      <family val="2"/>
      <scheme val="minor"/>
    </font>
    <font>
      <b/>
      <u/>
      <sz val="11"/>
      <color theme="1"/>
      <name val="Calibri"/>
      <family val="2"/>
      <scheme val="minor"/>
    </font>
    <font>
      <sz val="18"/>
      <color rgb="FF000000"/>
      <name val="Calibri"/>
      <family val="2"/>
    </font>
    <font>
      <vertAlign val="subscript"/>
      <sz val="18"/>
      <color rgb="FF000000"/>
      <name val="Calibri"/>
      <family val="2"/>
    </font>
    <font>
      <b/>
      <sz val="12"/>
      <color theme="1"/>
      <name val="Calibri"/>
      <family val="2"/>
      <scheme val="minor"/>
    </font>
    <font>
      <sz val="11"/>
      <color theme="1"/>
      <name val="ArialMT"/>
    </font>
  </fonts>
  <fills count="12">
    <fill>
      <patternFill patternType="none"/>
    </fill>
    <fill>
      <patternFill patternType="gray125"/>
    </fill>
    <fill>
      <patternFill patternType="solid">
        <fgColor theme="9" tint="0.39997558519241921"/>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rgb="FFBFBFBF"/>
        <bgColor rgb="FF000000"/>
      </patternFill>
    </fill>
    <fill>
      <patternFill patternType="solid">
        <fgColor rgb="FF92D05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0" tint="-0.249977111117893"/>
        <bgColor rgb="FF000000"/>
      </patternFill>
    </fill>
    <fill>
      <patternFill patternType="solid">
        <fgColor theme="2" tint="-9.9978637043366805E-2"/>
        <bgColor indexed="64"/>
      </patternFill>
    </fill>
  </fills>
  <borders count="22">
    <border>
      <left/>
      <right/>
      <top/>
      <bottom/>
      <diagonal/>
    </border>
    <border>
      <left style="thin">
        <color rgb="FFD9D9E3"/>
      </left>
      <right/>
      <top style="thin">
        <color rgb="FFD9D9E3"/>
      </top>
      <bottom style="thin">
        <color rgb="FFD9D9E3"/>
      </bottom>
      <diagonal/>
    </border>
    <border>
      <left style="thin">
        <color rgb="FFD9D9E3"/>
      </left>
      <right style="thin">
        <color rgb="FFD9D9E3"/>
      </right>
      <top style="thin">
        <color rgb="FFD9D9E3"/>
      </top>
      <bottom style="thin">
        <color rgb="FFD9D9E3"/>
      </bottom>
      <diagonal/>
    </border>
    <border>
      <left style="thin">
        <color rgb="FFD9D9E3"/>
      </left>
      <right/>
      <top/>
      <bottom style="thin">
        <color rgb="FFD9D9E3"/>
      </bottom>
      <diagonal/>
    </border>
    <border>
      <left style="thin">
        <color rgb="FFD9D9E3"/>
      </left>
      <right style="thin">
        <color rgb="FFD9D9E3"/>
      </right>
      <top/>
      <bottom style="thin">
        <color rgb="FFD9D9E3"/>
      </bottom>
      <diagonal/>
    </border>
    <border>
      <left style="thin">
        <color rgb="FFD9D9E3"/>
      </left>
      <right/>
      <top/>
      <bottom/>
      <diagonal/>
    </border>
    <border>
      <left style="thin">
        <color rgb="FFD9D9E3"/>
      </left>
      <right style="thin">
        <color rgb="FFD9D9E3"/>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3">
    <xf numFmtId="0" fontId="0" fillId="0" borderId="0"/>
    <xf numFmtId="0" fontId="26" fillId="0" borderId="0"/>
    <xf numFmtId="43" fontId="2" fillId="0" borderId="0" applyFont="0" applyFill="0" applyBorder="0" applyAlignment="0" applyProtection="0"/>
  </cellStyleXfs>
  <cellXfs count="251">
    <xf numFmtId="0" fontId="0" fillId="0" borderId="0" xfId="0"/>
    <xf numFmtId="0" fontId="0" fillId="0" borderId="0" xfId="0" applyAlignment="1">
      <alignment wrapText="1"/>
    </xf>
    <xf numFmtId="0" fontId="6" fillId="0" borderId="0" xfId="0" applyFont="1"/>
    <xf numFmtId="0" fontId="5" fillId="0" borderId="0" xfId="0" applyFont="1"/>
    <xf numFmtId="0" fontId="6" fillId="0" borderId="3" xfId="0" applyFont="1" applyBorder="1"/>
    <xf numFmtId="0" fontId="6" fillId="0" borderId="4" xfId="0" applyFont="1" applyBorder="1"/>
    <xf numFmtId="0" fontId="6" fillId="0" borderId="3" xfId="0" applyFont="1" applyBorder="1" applyAlignment="1">
      <alignment wrapText="1"/>
    </xf>
    <xf numFmtId="0" fontId="6" fillId="0" borderId="0" xfId="0" applyFont="1" applyAlignment="1">
      <alignment wrapText="1"/>
    </xf>
    <xf numFmtId="0" fontId="5" fillId="0" borderId="0" xfId="0" applyFont="1" applyAlignment="1">
      <alignment wrapText="1"/>
    </xf>
    <xf numFmtId="0" fontId="6" fillId="0" borderId="0" xfId="0" applyFont="1" applyAlignment="1">
      <alignment vertical="center" wrapText="1"/>
    </xf>
    <xf numFmtId="0" fontId="8" fillId="0" borderId="0" xfId="0" applyFont="1"/>
    <xf numFmtId="0" fontId="4" fillId="0" borderId="0" xfId="0" applyFont="1"/>
    <xf numFmtId="0" fontId="3" fillId="0" borderId="0" xfId="0" applyFont="1"/>
    <xf numFmtId="0" fontId="5" fillId="0" borderId="1" xfId="0" applyFont="1" applyBorder="1" applyAlignment="1">
      <alignment horizontal="center" vertical="center"/>
    </xf>
    <xf numFmtId="0" fontId="5" fillId="0" borderId="2" xfId="0" applyFont="1" applyBorder="1" applyAlignment="1">
      <alignment horizontal="center" vertical="center"/>
    </xf>
    <xf numFmtId="9" fontId="6" fillId="0" borderId="0" xfId="0" applyNumberFormat="1" applyFont="1"/>
    <xf numFmtId="0" fontId="10" fillId="0" borderId="0" xfId="0" applyFont="1"/>
    <xf numFmtId="0" fontId="0" fillId="2" borderId="0" xfId="0" applyFill="1"/>
    <xf numFmtId="0" fontId="5" fillId="2" borderId="0" xfId="0" applyFont="1" applyFill="1" applyAlignment="1">
      <alignment vertical="center"/>
    </xf>
    <xf numFmtId="0" fontId="0" fillId="2" borderId="0" xfId="0" applyFill="1" applyAlignment="1">
      <alignment vertical="center"/>
    </xf>
    <xf numFmtId="0" fontId="12" fillId="0" borderId="0" xfId="0" applyFont="1"/>
    <xf numFmtId="0" fontId="13" fillId="0" borderId="0" xfId="0" applyFont="1"/>
    <xf numFmtId="0" fontId="14" fillId="0" borderId="0" xfId="0" applyFont="1"/>
    <xf numFmtId="0" fontId="15" fillId="0" borderId="0" xfId="0" applyFont="1"/>
    <xf numFmtId="0" fontId="6" fillId="2" borderId="0" xfId="0" applyFont="1" applyFill="1"/>
    <xf numFmtId="0" fontId="5" fillId="2" borderId="0" xfId="0" applyFont="1" applyFill="1"/>
    <xf numFmtId="0" fontId="5" fillId="2" borderId="0" xfId="0" applyFont="1" applyFill="1" applyAlignment="1">
      <alignment wrapText="1"/>
    </xf>
    <xf numFmtId="0" fontId="6" fillId="2" borderId="0" xfId="0" applyFont="1" applyFill="1" applyAlignment="1">
      <alignment wrapText="1"/>
    </xf>
    <xf numFmtId="0" fontId="5" fillId="0" borderId="0" xfId="0" applyFont="1" applyAlignment="1">
      <alignment horizontal="center" vertical="center" wrapText="1"/>
    </xf>
    <xf numFmtId="0" fontId="6" fillId="3" borderId="0" xfId="0" applyFont="1" applyFill="1" applyAlignment="1">
      <alignment wrapText="1"/>
    </xf>
    <xf numFmtId="0" fontId="0" fillId="3" borderId="0" xfId="0" applyFill="1"/>
    <xf numFmtId="0" fontId="6" fillId="2" borderId="5" xfId="0" applyFont="1" applyFill="1" applyBorder="1"/>
    <xf numFmtId="0" fontId="6" fillId="2" borderId="5" xfId="0" applyFont="1" applyFill="1" applyBorder="1" applyAlignment="1">
      <alignment wrapText="1"/>
    </xf>
    <xf numFmtId="0" fontId="9" fillId="2" borderId="0" xfId="0" applyFont="1" applyFill="1" applyAlignment="1">
      <alignment wrapText="1" readingOrder="1"/>
    </xf>
    <xf numFmtId="0" fontId="11" fillId="2" borderId="0" xfId="0" applyFont="1" applyFill="1" applyAlignment="1">
      <alignment wrapText="1" readingOrder="1"/>
    </xf>
    <xf numFmtId="0" fontId="8" fillId="2" borderId="0" xfId="0" applyFont="1" applyFill="1"/>
    <xf numFmtId="0" fontId="7" fillId="2" borderId="0" xfId="0" applyFont="1" applyFill="1" applyAlignment="1">
      <alignment wrapText="1" readingOrder="1"/>
    </xf>
    <xf numFmtId="0" fontId="5" fillId="2" borderId="0" xfId="0" applyFont="1" applyFill="1" applyAlignment="1">
      <alignment horizontal="left" vertical="top"/>
    </xf>
    <xf numFmtId="0" fontId="11" fillId="2" borderId="0" xfId="0" applyFont="1" applyFill="1"/>
    <xf numFmtId="0" fontId="6" fillId="2" borderId="0" xfId="0" applyFont="1" applyFill="1" applyAlignment="1">
      <alignment vertical="top" wrapText="1"/>
    </xf>
    <xf numFmtId="0" fontId="8" fillId="0" borderId="0" xfId="0" applyFont="1" applyAlignment="1">
      <alignment horizontal="left"/>
    </xf>
    <xf numFmtId="0" fontId="0" fillId="0" borderId="0" xfId="0" applyAlignment="1">
      <alignment horizontal="left"/>
    </xf>
    <xf numFmtId="0" fontId="5" fillId="2" borderId="0" xfId="0" applyFont="1" applyFill="1" applyAlignment="1">
      <alignment horizontal="left" vertical="top" wrapText="1"/>
    </xf>
    <xf numFmtId="0" fontId="5" fillId="4" borderId="0" xfId="0" applyFont="1" applyFill="1"/>
    <xf numFmtId="0" fontId="6" fillId="4" borderId="0" xfId="0" applyFont="1" applyFill="1"/>
    <xf numFmtId="0" fontId="6" fillId="4" borderId="0" xfId="0" applyFont="1" applyFill="1" applyAlignment="1">
      <alignment wrapText="1"/>
    </xf>
    <xf numFmtId="0" fontId="0" fillId="4" borderId="0" xfId="0" applyFill="1"/>
    <xf numFmtId="0" fontId="9" fillId="0" borderId="0" xfId="0" applyFont="1"/>
    <xf numFmtId="0" fontId="6" fillId="2" borderId="0" xfId="0" applyFont="1" applyFill="1" applyAlignment="1">
      <alignment vertical="center" wrapText="1"/>
    </xf>
    <xf numFmtId="0" fontId="0" fillId="0" borderId="0" xfId="0" applyAlignment="1">
      <alignment vertical="center"/>
    </xf>
    <xf numFmtId="0" fontId="6" fillId="5" borderId="0" xfId="0" applyFont="1" applyFill="1"/>
    <xf numFmtId="0" fontId="5" fillId="5" borderId="0" xfId="0" applyFont="1" applyFill="1"/>
    <xf numFmtId="0" fontId="6" fillId="5" borderId="0" xfId="0" applyFont="1" applyFill="1" applyAlignment="1">
      <alignment wrapText="1"/>
    </xf>
    <xf numFmtId="0" fontId="5" fillId="5" borderId="0" xfId="0" applyFont="1" applyFill="1" applyAlignment="1">
      <alignment wrapText="1"/>
    </xf>
    <xf numFmtId="0" fontId="0" fillId="5" borderId="0" xfId="0" applyFill="1"/>
    <xf numFmtId="0" fontId="4" fillId="2" borderId="0" xfId="0" applyFont="1" applyFill="1"/>
    <xf numFmtId="0" fontId="6" fillId="5" borderId="5" xfId="0" applyFont="1" applyFill="1" applyBorder="1"/>
    <xf numFmtId="0" fontId="9" fillId="5" borderId="0" xfId="0" applyFont="1" applyFill="1" applyAlignment="1">
      <alignment wrapText="1"/>
    </xf>
    <xf numFmtId="0" fontId="5" fillId="3" borderId="0" xfId="0" applyFont="1" applyFill="1" applyAlignment="1">
      <alignment vertical="center"/>
    </xf>
    <xf numFmtId="0" fontId="0" fillId="3" borderId="0" xfId="0" applyFill="1" applyAlignment="1">
      <alignment wrapText="1"/>
    </xf>
    <xf numFmtId="0" fontId="3" fillId="2" borderId="0" xfId="0" applyFont="1" applyFill="1"/>
    <xf numFmtId="0" fontId="18" fillId="0" borderId="0" xfId="0" applyFont="1" applyAlignment="1">
      <alignment wrapText="1"/>
    </xf>
    <xf numFmtId="0" fontId="18" fillId="0" borderId="0" xfId="0" applyFont="1" applyAlignment="1">
      <alignment horizontal="left" wrapText="1"/>
    </xf>
    <xf numFmtId="0" fontId="18" fillId="0" borderId="0" xfId="0" applyFont="1" applyAlignment="1">
      <alignment horizontal="left"/>
    </xf>
    <xf numFmtId="0" fontId="0" fillId="7" borderId="0" xfId="0" applyFill="1"/>
    <xf numFmtId="0" fontId="20" fillId="7" borderId="0" xfId="0" applyFont="1" applyFill="1" applyAlignment="1">
      <alignment horizontal="center" vertical="center"/>
    </xf>
    <xf numFmtId="0" fontId="0" fillId="7" borderId="0" xfId="0" applyFill="1" applyAlignment="1">
      <alignment horizontal="left" vertical="center" wrapText="1"/>
    </xf>
    <xf numFmtId="0" fontId="0" fillId="7" borderId="0" xfId="0" applyFill="1" applyAlignment="1">
      <alignment horizontal="left"/>
    </xf>
    <xf numFmtId="0" fontId="22" fillId="0" borderId="0" xfId="0" applyFont="1"/>
    <xf numFmtId="0" fontId="0" fillId="0" borderId="0" xfId="0" applyAlignment="1">
      <alignment horizontal="left" vertical="center" wrapText="1"/>
    </xf>
    <xf numFmtId="0" fontId="0" fillId="5" borderId="0" xfId="0" applyFill="1" applyAlignment="1">
      <alignment horizontal="left" vertical="center" wrapText="1"/>
    </xf>
    <xf numFmtId="0" fontId="0" fillId="5" borderId="0" xfId="0" applyFill="1" applyAlignment="1">
      <alignment wrapText="1"/>
    </xf>
    <xf numFmtId="0" fontId="22" fillId="7" borderId="0" xfId="0" applyFont="1" applyFill="1" applyAlignment="1">
      <alignment horizontal="center" vertical="center"/>
    </xf>
    <xf numFmtId="0" fontId="22" fillId="0" borderId="0" xfId="0" applyFont="1" applyAlignment="1">
      <alignment horizontal="center" vertical="center"/>
    </xf>
    <xf numFmtId="0" fontId="22" fillId="7" borderId="0" xfId="0" applyFont="1" applyFill="1"/>
    <xf numFmtId="0" fontId="0" fillId="7" borderId="0" xfId="0" applyFill="1" applyAlignment="1">
      <alignment vertical="center" wrapText="1"/>
    </xf>
    <xf numFmtId="0" fontId="0" fillId="0" borderId="0" xfId="0" applyAlignment="1">
      <alignment horizontal="center" vertical="center"/>
    </xf>
    <xf numFmtId="0" fontId="0" fillId="5" borderId="0" xfId="0" applyFill="1" applyAlignment="1">
      <alignment horizontal="center" vertical="center"/>
    </xf>
    <xf numFmtId="0" fontId="26" fillId="2" borderId="0" xfId="0" applyFont="1" applyFill="1" applyAlignment="1">
      <alignment vertical="center"/>
    </xf>
    <xf numFmtId="0" fontId="27" fillId="8" borderId="0" xfId="0" applyFont="1" applyFill="1" applyAlignment="1">
      <alignment horizontal="left" vertical="center" wrapText="1"/>
    </xf>
    <xf numFmtId="0" fontId="28" fillId="8" borderId="0" xfId="0" applyFont="1" applyFill="1" applyAlignment="1">
      <alignment horizontal="left" vertical="center" wrapText="1"/>
    </xf>
    <xf numFmtId="0" fontId="29" fillId="8" borderId="0" xfId="0" applyFont="1" applyFill="1" applyAlignment="1">
      <alignment horizontal="center" vertical="center" wrapText="1"/>
    </xf>
    <xf numFmtId="0" fontId="30" fillId="8" borderId="0" xfId="0" applyFont="1" applyFill="1" applyAlignment="1">
      <alignment vertical="center" wrapText="1"/>
    </xf>
    <xf numFmtId="0" fontId="0" fillId="8" borderId="0" xfId="0" applyFill="1" applyAlignment="1">
      <alignment vertical="center" wrapText="1"/>
    </xf>
    <xf numFmtId="0" fontId="0" fillId="8" borderId="0" xfId="0" applyFill="1" applyAlignment="1">
      <alignment horizontal="center" vertical="center"/>
    </xf>
    <xf numFmtId="0" fontId="30" fillId="0" borderId="0" xfId="0" applyFont="1" applyAlignment="1">
      <alignment vertical="center" wrapText="1"/>
    </xf>
    <xf numFmtId="0" fontId="0" fillId="0" borderId="0" xfId="0" applyAlignment="1">
      <alignment vertical="center" wrapText="1"/>
    </xf>
    <xf numFmtId="0" fontId="8" fillId="8" borderId="0" xfId="0" applyFont="1" applyFill="1" applyAlignment="1">
      <alignment horizontal="center" vertical="center"/>
    </xf>
    <xf numFmtId="0" fontId="0" fillId="9" borderId="0" xfId="0" applyFill="1"/>
    <xf numFmtId="0" fontId="0" fillId="0" borderId="0" xfId="0" applyAlignment="1">
      <alignment horizontal="left" wrapText="1"/>
    </xf>
    <xf numFmtId="0" fontId="8" fillId="0" borderId="0" xfId="0" applyFont="1" applyAlignment="1">
      <alignment horizontal="center"/>
    </xf>
    <xf numFmtId="9" fontId="0" fillId="7" borderId="0" xfId="0" applyNumberFormat="1" applyFill="1"/>
    <xf numFmtId="0" fontId="8" fillId="0" borderId="0" xfId="0" applyFont="1" applyAlignment="1">
      <alignment horizontal="center" wrapText="1"/>
    </xf>
    <xf numFmtId="0" fontId="32" fillId="9" borderId="0" xfId="0" applyFont="1" applyFill="1"/>
    <xf numFmtId="0" fontId="0" fillId="7" borderId="7" xfId="0" applyFill="1" applyBorder="1"/>
    <xf numFmtId="0" fontId="33" fillId="0" borderId="0" xfId="0" applyFont="1" applyAlignment="1">
      <alignment horizontal="center"/>
    </xf>
    <xf numFmtId="0" fontId="18" fillId="0" borderId="0" xfId="0" applyFont="1"/>
    <xf numFmtId="0" fontId="18" fillId="10" borderId="0" xfId="0" applyFont="1" applyFill="1" applyAlignment="1">
      <alignment horizontal="left"/>
    </xf>
    <xf numFmtId="0" fontId="34" fillId="10" borderId="0" xfId="0" applyFont="1" applyFill="1" applyAlignment="1">
      <alignment horizontal="left"/>
    </xf>
    <xf numFmtId="0" fontId="35" fillId="7" borderId="0" xfId="1" applyFont="1" applyFill="1" applyAlignment="1">
      <alignment vertical="top" wrapText="1"/>
    </xf>
    <xf numFmtId="0" fontId="0" fillId="7" borderId="0" xfId="0" applyFill="1" applyAlignment="1">
      <alignment wrapText="1"/>
    </xf>
    <xf numFmtId="10" fontId="0" fillId="0" borderId="0" xfId="0" applyNumberFormat="1" applyAlignment="1">
      <alignment horizontal="left"/>
    </xf>
    <xf numFmtId="4" fontId="0" fillId="0" borderId="0" xfId="0" applyNumberFormat="1" applyAlignment="1">
      <alignment horizontal="left"/>
    </xf>
    <xf numFmtId="3" fontId="0" fillId="0" borderId="0" xfId="0" applyNumberFormat="1" applyAlignment="1">
      <alignment horizontal="left"/>
    </xf>
    <xf numFmtId="0" fontId="0" fillId="7" borderId="0" xfId="0" applyFill="1" applyAlignment="1">
      <alignment horizontal="left" wrapText="1"/>
    </xf>
    <xf numFmtId="0" fontId="22" fillId="0" borderId="0" xfId="0" applyFont="1" applyAlignment="1">
      <alignment horizontal="center"/>
    </xf>
    <xf numFmtId="0" fontId="0" fillId="5" borderId="0" xfId="0" applyFill="1" applyAlignment="1">
      <alignment vertical="center" wrapText="1"/>
    </xf>
    <xf numFmtId="0" fontId="0" fillId="5" borderId="0" xfId="0" applyFill="1" applyAlignment="1">
      <alignment vertical="center"/>
    </xf>
    <xf numFmtId="0" fontId="36" fillId="7" borderId="0" xfId="0" applyFont="1" applyFill="1" applyAlignment="1">
      <alignment vertical="center"/>
    </xf>
    <xf numFmtId="0" fontId="0" fillId="7" borderId="0" xfId="0" applyFill="1" applyAlignment="1">
      <alignment vertical="center"/>
    </xf>
    <xf numFmtId="0" fontId="0" fillId="5" borderId="0" xfId="0" applyFill="1" applyAlignment="1">
      <alignment horizontal="left" wrapText="1"/>
    </xf>
    <xf numFmtId="0" fontId="39" fillId="7" borderId="0" xfId="0" applyFont="1" applyFill="1" applyAlignment="1">
      <alignment vertical="center"/>
    </xf>
    <xf numFmtId="0" fontId="39" fillId="0" borderId="0" xfId="0" applyFont="1" applyAlignment="1">
      <alignment vertical="center"/>
    </xf>
    <xf numFmtId="0" fontId="41" fillId="0" borderId="11" xfId="0" applyFont="1" applyBorder="1" applyAlignment="1">
      <alignment horizontal="center"/>
    </xf>
    <xf numFmtId="0" fontId="41" fillId="0" borderId="11" xfId="0" applyFont="1" applyBorder="1" applyAlignment="1">
      <alignment horizontal="center" wrapText="1"/>
    </xf>
    <xf numFmtId="0" fontId="0" fillId="0" borderId="12" xfId="0" applyBorder="1"/>
    <xf numFmtId="0" fontId="0" fillId="0" borderId="13" xfId="0" applyBorder="1"/>
    <xf numFmtId="0" fontId="0" fillId="0" borderId="15" xfId="0" applyBorder="1"/>
    <xf numFmtId="0" fontId="0" fillId="0" borderId="16" xfId="0" applyBorder="1"/>
    <xf numFmtId="0" fontId="0" fillId="0" borderId="15" xfId="0" applyBorder="1" applyAlignment="1">
      <alignment wrapText="1"/>
    </xf>
    <xf numFmtId="0" fontId="0" fillId="0" borderId="18" xfId="0" applyBorder="1"/>
    <xf numFmtId="0" fontId="0" fillId="0" borderId="19" xfId="0" applyBorder="1"/>
    <xf numFmtId="0" fontId="2" fillId="0" borderId="0" xfId="0" applyFont="1" applyAlignment="1">
      <alignment wrapText="1"/>
    </xf>
    <xf numFmtId="0" fontId="2" fillId="0" borderId="0" xfId="0" applyFont="1"/>
    <xf numFmtId="0" fontId="2" fillId="2" borderId="0" xfId="0" applyFont="1" applyFill="1"/>
    <xf numFmtId="0" fontId="2" fillId="2" borderId="0" xfId="0" applyFont="1" applyFill="1" applyAlignment="1">
      <alignment wrapText="1"/>
    </xf>
    <xf numFmtId="0" fontId="2" fillId="3" borderId="0" xfId="0" applyFont="1" applyFill="1" applyAlignment="1">
      <alignment wrapText="1"/>
    </xf>
    <xf numFmtId="0" fontId="2" fillId="4" borderId="0" xfId="0" applyFont="1" applyFill="1" applyAlignment="1">
      <alignment wrapText="1"/>
    </xf>
    <xf numFmtId="0" fontId="2" fillId="2" borderId="0" xfId="0" applyFont="1" applyFill="1" applyAlignment="1">
      <alignment vertical="center" wrapText="1"/>
    </xf>
    <xf numFmtId="0" fontId="16" fillId="2" borderId="0" xfId="0" applyFont="1" applyFill="1" applyAlignment="1">
      <alignment vertical="center"/>
    </xf>
    <xf numFmtId="0" fontId="1" fillId="5" borderId="0" xfId="0" applyFont="1" applyFill="1" applyAlignment="1">
      <alignment horizontal="left" vertical="center"/>
    </xf>
    <xf numFmtId="0" fontId="1" fillId="5" borderId="0" xfId="0" applyFont="1" applyFill="1" applyAlignment="1">
      <alignment horizontal="left" vertical="center" wrapText="1"/>
    </xf>
    <xf numFmtId="0" fontId="27" fillId="5" borderId="0" xfId="0" applyFont="1" applyFill="1" applyAlignment="1">
      <alignment wrapText="1"/>
    </xf>
    <xf numFmtId="0" fontId="1" fillId="0" borderId="0" xfId="0" applyFont="1"/>
    <xf numFmtId="0" fontId="1" fillId="7" borderId="0" xfId="0" applyFont="1" applyFill="1"/>
    <xf numFmtId="0" fontId="6" fillId="0" borderId="0" xfId="0" applyFont="1" applyAlignment="1">
      <alignment horizontal="left"/>
    </xf>
    <xf numFmtId="0" fontId="5" fillId="0" borderId="0" xfId="0" applyFont="1" applyAlignment="1">
      <alignment horizontal="left"/>
    </xf>
    <xf numFmtId="164" fontId="0" fillId="0" borderId="14" xfId="2" applyNumberFormat="1" applyFont="1" applyBorder="1"/>
    <xf numFmtId="164" fontId="0" fillId="0" borderId="17" xfId="2" applyNumberFormat="1" applyFont="1" applyBorder="1"/>
    <xf numFmtId="164" fontId="0" fillId="0" borderId="20" xfId="2" applyNumberFormat="1" applyFont="1" applyBorder="1"/>
    <xf numFmtId="0" fontId="17" fillId="2" borderId="0" xfId="0" applyFont="1" applyFill="1" applyAlignment="1">
      <alignment vertical="center"/>
    </xf>
    <xf numFmtId="0" fontId="5" fillId="0" borderId="0" xfId="0" applyFont="1" applyAlignment="1">
      <alignment horizontal="center" vertical="center"/>
    </xf>
    <xf numFmtId="0" fontId="6" fillId="0" borderId="0" xfId="0" applyFont="1" applyAlignment="1">
      <alignment horizontal="center"/>
    </xf>
    <xf numFmtId="0" fontId="6" fillId="0" borderId="0" xfId="0" applyFont="1" applyAlignment="1">
      <alignment horizontal="left" wrapText="1"/>
    </xf>
    <xf numFmtId="0" fontId="20" fillId="8" borderId="0" xfId="0" applyFont="1" applyFill="1" applyAlignment="1">
      <alignment horizontal="center" vertical="center" wrapText="1"/>
    </xf>
    <xf numFmtId="0" fontId="6" fillId="0" borderId="0" xfId="0" applyFont="1" applyAlignment="1">
      <alignment horizontal="center" vertical="center"/>
    </xf>
    <xf numFmtId="0" fontId="27" fillId="8" borderId="0" xfId="0" applyFont="1" applyFill="1" applyAlignment="1">
      <alignment horizontal="center" vertical="center" wrapText="1"/>
    </xf>
    <xf numFmtId="0" fontId="5" fillId="2" borderId="0" xfId="0" applyFont="1" applyFill="1" applyAlignment="1">
      <alignment horizontal="center" vertical="center"/>
    </xf>
    <xf numFmtId="0" fontId="6" fillId="2" borderId="0" xfId="0" applyFont="1" applyFill="1" applyAlignment="1">
      <alignment horizontal="center" vertical="center"/>
    </xf>
    <xf numFmtId="0" fontId="6" fillId="5" borderId="0" xfId="0" applyFont="1" applyFill="1" applyAlignment="1">
      <alignment horizontal="center" vertical="center"/>
    </xf>
    <xf numFmtId="0" fontId="7" fillId="2" borderId="0" xfId="0" applyFont="1" applyFill="1" applyAlignment="1">
      <alignment horizontal="center" vertical="center" wrapText="1" readingOrder="1"/>
    </xf>
    <xf numFmtId="0" fontId="6" fillId="2" borderId="5" xfId="0" applyFont="1" applyFill="1" applyBorder="1" applyAlignment="1">
      <alignment horizontal="center" vertical="center"/>
    </xf>
    <xf numFmtId="0" fontId="6" fillId="0" borderId="3" xfId="0" applyFont="1" applyBorder="1" applyAlignment="1">
      <alignment horizontal="center" vertical="center"/>
    </xf>
    <xf numFmtId="0" fontId="6" fillId="5" borderId="5" xfId="0" applyFont="1" applyFill="1" applyBorder="1" applyAlignment="1">
      <alignment horizontal="center" vertical="center"/>
    </xf>
    <xf numFmtId="0" fontId="5" fillId="3" borderId="0" xfId="0" applyFont="1" applyFill="1" applyAlignment="1">
      <alignment horizontal="center" vertical="center"/>
    </xf>
    <xf numFmtId="0" fontId="5" fillId="4" borderId="0" xfId="0" applyFont="1" applyFill="1" applyAlignment="1">
      <alignment horizontal="center" vertical="center"/>
    </xf>
    <xf numFmtId="0" fontId="27" fillId="8" borderId="0" xfId="0" applyFont="1" applyFill="1" applyAlignment="1">
      <alignment horizontal="center" vertical="center"/>
    </xf>
    <xf numFmtId="0" fontId="9" fillId="2" borderId="0" xfId="0" applyFont="1" applyFill="1" applyAlignment="1">
      <alignment horizontal="center" vertical="center" wrapText="1" readingOrder="1"/>
    </xf>
    <xf numFmtId="0" fontId="0" fillId="3" borderId="0" xfId="0" applyFill="1" applyAlignment="1">
      <alignment horizontal="center" vertical="center"/>
    </xf>
    <xf numFmtId="0" fontId="6" fillId="4" borderId="0" xfId="0" applyFont="1" applyFill="1" applyAlignment="1">
      <alignment horizontal="center" vertical="center"/>
    </xf>
    <xf numFmtId="0" fontId="2" fillId="4" borderId="0" xfId="0" applyFont="1" applyFill="1" applyAlignment="1">
      <alignment horizontal="center" vertical="center" wrapText="1"/>
    </xf>
    <xf numFmtId="0" fontId="42" fillId="8" borderId="0" xfId="0" applyFont="1" applyFill="1" applyAlignment="1">
      <alignment vertical="top" wrapText="1"/>
    </xf>
    <xf numFmtId="0" fontId="0" fillId="0" borderId="0" xfId="0" applyAlignment="1">
      <alignment horizontal="center"/>
    </xf>
    <xf numFmtId="0" fontId="5" fillId="0" borderId="0" xfId="0" applyFont="1" applyAlignment="1">
      <alignment horizontal="center"/>
    </xf>
    <xf numFmtId="0" fontId="5" fillId="2" borderId="0" xfId="0" applyFont="1" applyFill="1" applyAlignment="1">
      <alignment horizontal="center"/>
    </xf>
    <xf numFmtId="0" fontId="6" fillId="2" borderId="0" xfId="0" applyFont="1" applyFill="1" applyAlignment="1">
      <alignment horizontal="center"/>
    </xf>
    <xf numFmtId="0" fontId="6" fillId="5" borderId="0" xfId="0" applyFont="1" applyFill="1" applyAlignment="1">
      <alignment horizontal="center"/>
    </xf>
    <xf numFmtId="0" fontId="9" fillId="2" borderId="0" xfId="0" applyFont="1" applyFill="1" applyAlignment="1">
      <alignment horizontal="center" wrapText="1" readingOrder="1"/>
    </xf>
    <xf numFmtId="0" fontId="5" fillId="0" borderId="0" xfId="0" applyFont="1" applyAlignment="1">
      <alignment horizontal="center" wrapText="1"/>
    </xf>
    <xf numFmtId="0" fontId="6" fillId="2" borderId="5" xfId="0" applyFont="1" applyFill="1" applyBorder="1" applyAlignment="1">
      <alignment horizontal="center"/>
    </xf>
    <xf numFmtId="0" fontId="6" fillId="0" borderId="3" xfId="0" applyFont="1" applyBorder="1" applyAlignment="1">
      <alignment horizontal="center"/>
    </xf>
    <xf numFmtId="0" fontId="6" fillId="5" borderId="5" xfId="0" applyFont="1" applyFill="1" applyBorder="1" applyAlignment="1">
      <alignment horizontal="center"/>
    </xf>
    <xf numFmtId="0" fontId="5" fillId="5" borderId="0" xfId="0" applyFont="1" applyFill="1" applyAlignment="1">
      <alignment horizontal="center"/>
    </xf>
    <xf numFmtId="0" fontId="6" fillId="4" borderId="0" xfId="0" applyFont="1" applyFill="1" applyAlignment="1">
      <alignment horizontal="center"/>
    </xf>
    <xf numFmtId="0" fontId="2" fillId="4" borderId="0" xfId="0" applyFont="1" applyFill="1" applyAlignment="1">
      <alignment horizontal="center" wrapText="1"/>
    </xf>
    <xf numFmtId="0" fontId="27" fillId="8" borderId="0" xfId="0" applyFont="1" applyFill="1" applyAlignment="1">
      <alignment horizontal="center" wrapText="1"/>
    </xf>
    <xf numFmtId="0" fontId="2" fillId="3" borderId="0" xfId="0" applyFont="1" applyFill="1" applyAlignment="1">
      <alignment horizontal="center" wrapText="1"/>
    </xf>
    <xf numFmtId="0" fontId="5" fillId="0" borderId="0" xfId="0" applyFont="1" applyAlignment="1">
      <alignment horizontal="left" wrapText="1"/>
    </xf>
    <xf numFmtId="0" fontId="28" fillId="8" borderId="0" xfId="0" applyFont="1" applyFill="1" applyAlignment="1">
      <alignment horizontal="left" wrapText="1"/>
    </xf>
    <xf numFmtId="0" fontId="5" fillId="2" borderId="0" xfId="0" applyFont="1" applyFill="1" applyAlignment="1">
      <alignment horizontal="left"/>
    </xf>
    <xf numFmtId="0" fontId="6" fillId="2" borderId="0" xfId="0" applyFont="1" applyFill="1" applyAlignment="1">
      <alignment horizontal="left" wrapText="1"/>
    </xf>
    <xf numFmtId="0" fontId="6" fillId="5" borderId="0" xfId="0" applyFont="1" applyFill="1" applyAlignment="1">
      <alignment horizontal="left" wrapText="1"/>
    </xf>
    <xf numFmtId="0" fontId="9" fillId="2" borderId="0" xfId="0" applyFont="1" applyFill="1" applyAlignment="1">
      <alignment horizontal="left" wrapText="1" readingOrder="1"/>
    </xf>
    <xf numFmtId="0" fontId="6" fillId="2" borderId="5" xfId="0" applyFont="1" applyFill="1" applyBorder="1" applyAlignment="1">
      <alignment horizontal="left" wrapText="1"/>
    </xf>
    <xf numFmtId="0" fontId="6" fillId="0" borderId="4" xfId="0" applyFont="1" applyBorder="1" applyAlignment="1">
      <alignment horizontal="left" wrapText="1"/>
    </xf>
    <xf numFmtId="0" fontId="6" fillId="5" borderId="6" xfId="0" applyFont="1" applyFill="1" applyBorder="1" applyAlignment="1">
      <alignment horizontal="left" wrapText="1"/>
    </xf>
    <xf numFmtId="0" fontId="6" fillId="2" borderId="6" xfId="0" applyFont="1" applyFill="1" applyBorder="1" applyAlignment="1">
      <alignment horizontal="left" wrapText="1"/>
    </xf>
    <xf numFmtId="0" fontId="0" fillId="3" borderId="0" xfId="0" applyFill="1" applyAlignment="1">
      <alignment horizontal="left"/>
    </xf>
    <xf numFmtId="0" fontId="5" fillId="2" borderId="0" xfId="0" applyFont="1" applyFill="1" applyAlignment="1">
      <alignment horizontal="left" wrapText="1"/>
    </xf>
    <xf numFmtId="0" fontId="6" fillId="2" borderId="0" xfId="0" applyFont="1" applyFill="1" applyAlignment="1">
      <alignment horizontal="left"/>
    </xf>
    <xf numFmtId="0" fontId="9" fillId="0" borderId="0" xfId="0" applyFont="1" applyAlignment="1">
      <alignment horizontal="left" wrapText="1"/>
    </xf>
    <xf numFmtId="0" fontId="9" fillId="4" borderId="0" xfId="0" applyFont="1" applyFill="1" applyAlignment="1">
      <alignment horizontal="left" wrapText="1"/>
    </xf>
    <xf numFmtId="0" fontId="2" fillId="4" borderId="0" xfId="0" applyFont="1" applyFill="1" applyAlignment="1">
      <alignment horizontal="left" wrapText="1"/>
    </xf>
    <xf numFmtId="0" fontId="5" fillId="11" borderId="0" xfId="0" applyFont="1" applyFill="1" applyAlignment="1">
      <alignment vertical="center"/>
    </xf>
    <xf numFmtId="0" fontId="0" fillId="11" borderId="0" xfId="0" applyFill="1" applyAlignment="1">
      <alignment horizontal="center" vertical="center"/>
    </xf>
    <xf numFmtId="0" fontId="2" fillId="11" borderId="0" xfId="0" applyFont="1" applyFill="1" applyAlignment="1">
      <alignment horizontal="center" wrapText="1"/>
    </xf>
    <xf numFmtId="0" fontId="2" fillId="11" borderId="0" xfId="0" applyFont="1" applyFill="1" applyAlignment="1">
      <alignment wrapText="1"/>
    </xf>
    <xf numFmtId="0" fontId="0" fillId="11" borderId="0" xfId="0" applyFill="1" applyAlignment="1">
      <alignment wrapText="1"/>
    </xf>
    <xf numFmtId="0" fontId="0" fillId="11" borderId="0" xfId="0" applyFill="1" applyAlignment="1">
      <alignment horizontal="left"/>
    </xf>
    <xf numFmtId="0" fontId="0" fillId="11" borderId="0" xfId="0" applyFill="1"/>
    <xf numFmtId="9" fontId="6" fillId="0" borderId="0" xfId="0" applyNumberFormat="1" applyFont="1" applyAlignment="1">
      <alignment horizontal="left"/>
    </xf>
    <xf numFmtId="0" fontId="9" fillId="2" borderId="0" xfId="0" applyFont="1" applyFill="1" applyAlignment="1">
      <alignment horizontal="left" wrapText="1"/>
    </xf>
    <xf numFmtId="0" fontId="6" fillId="7" borderId="0" xfId="0" applyFont="1" applyFill="1" applyAlignment="1">
      <alignment horizontal="left" wrapText="1"/>
    </xf>
    <xf numFmtId="0" fontId="6" fillId="7" borderId="0" xfId="0" applyFont="1" applyFill="1" applyAlignment="1">
      <alignment horizontal="left"/>
    </xf>
    <xf numFmtId="0" fontId="6" fillId="8" borderId="0" xfId="0" applyFont="1" applyFill="1" applyAlignment="1">
      <alignment horizontal="left" vertical="center" wrapText="1"/>
    </xf>
    <xf numFmtId="0" fontId="5" fillId="8" borderId="0" xfId="0" applyFont="1" applyFill="1" applyAlignment="1">
      <alignment horizontal="left" vertical="center" wrapText="1"/>
    </xf>
    <xf numFmtId="0" fontId="6" fillId="8" borderId="0" xfId="0" applyFont="1" applyFill="1" applyAlignment="1">
      <alignment horizontal="left" vertical="center"/>
    </xf>
    <xf numFmtId="0" fontId="6" fillId="8" borderId="0" xfId="0" applyFont="1" applyFill="1"/>
    <xf numFmtId="0" fontId="6" fillId="0" borderId="0" xfId="0" applyFont="1" applyAlignment="1">
      <alignment horizontal="left" vertical="center"/>
    </xf>
    <xf numFmtId="0" fontId="1" fillId="8" borderId="0" xfId="0" applyFont="1" applyFill="1" applyAlignment="1">
      <alignment vertical="center" wrapText="1"/>
    </xf>
    <xf numFmtId="0" fontId="5" fillId="3" borderId="0" xfId="0" applyFont="1" applyFill="1" applyAlignment="1">
      <alignment horizontal="left" vertical="center"/>
    </xf>
    <xf numFmtId="0" fontId="5" fillId="11" borderId="0" xfId="0" applyFont="1" applyFill="1" applyAlignment="1">
      <alignment horizontal="left" vertical="center"/>
    </xf>
    <xf numFmtId="0" fontId="5" fillId="4" borderId="0" xfId="0" applyFont="1" applyFill="1" applyAlignment="1">
      <alignment horizontal="left" vertical="center"/>
    </xf>
    <xf numFmtId="0" fontId="19" fillId="6" borderId="0" xfId="0" applyFont="1" applyFill="1"/>
    <xf numFmtId="0" fontId="19" fillId="6" borderId="0" xfId="0" applyFont="1" applyFill="1" applyAlignment="1">
      <alignment wrapText="1"/>
    </xf>
    <xf numFmtId="0" fontId="5" fillId="3" borderId="0" xfId="0" applyFont="1" applyFill="1" applyAlignment="1">
      <alignment vertical="center" wrapText="1"/>
    </xf>
    <xf numFmtId="0" fontId="5" fillId="0" borderId="0" xfId="0" applyFont="1" applyAlignment="1">
      <alignment horizontal="left" vertical="center"/>
    </xf>
    <xf numFmtId="0" fontId="19" fillId="6" borderId="0" xfId="0" applyFont="1" applyFill="1" applyAlignment="1">
      <alignment horizontal="left"/>
    </xf>
    <xf numFmtId="0" fontId="0" fillId="0" borderId="0" xfId="0" applyAlignment="1">
      <alignment horizontal="left" vertical="center"/>
    </xf>
    <xf numFmtId="0" fontId="19" fillId="6" borderId="0" xfId="0" applyFont="1" applyFill="1" applyAlignment="1">
      <alignment horizontal="left" wrapText="1"/>
    </xf>
    <xf numFmtId="0" fontId="27" fillId="8" borderId="0" xfId="0" applyFont="1" applyFill="1" applyAlignment="1">
      <alignment horizontal="left" vertical="center"/>
    </xf>
    <xf numFmtId="0" fontId="5" fillId="2" borderId="0" xfId="0" applyFont="1" applyFill="1" applyAlignment="1">
      <alignment horizontal="left" vertical="center"/>
    </xf>
    <xf numFmtId="0" fontId="6" fillId="2" borderId="0" xfId="0" applyFont="1" applyFill="1" applyAlignment="1">
      <alignment horizontal="left" vertical="center"/>
    </xf>
    <xf numFmtId="0" fontId="6" fillId="5" borderId="0" xfId="0" applyFont="1" applyFill="1" applyAlignment="1">
      <alignment horizontal="left" vertical="center"/>
    </xf>
    <xf numFmtId="0" fontId="9" fillId="2" borderId="0" xfId="0" applyFont="1" applyFill="1" applyAlignment="1">
      <alignment horizontal="left" vertical="center" wrapText="1" readingOrder="1"/>
    </xf>
    <xf numFmtId="0" fontId="5" fillId="3" borderId="0" xfId="0" applyFont="1" applyFill="1" applyAlignment="1">
      <alignment horizontal="left" vertical="center" wrapText="1"/>
    </xf>
    <xf numFmtId="0" fontId="5" fillId="0" borderId="0" xfId="0" applyFont="1" applyAlignment="1">
      <alignment horizontal="left" vertical="center" wrapText="1"/>
    </xf>
    <xf numFmtId="0" fontId="6" fillId="2" borderId="5" xfId="0" applyFont="1" applyFill="1" applyBorder="1" applyAlignment="1">
      <alignment horizontal="left" vertical="center"/>
    </xf>
    <xf numFmtId="0" fontId="6" fillId="0" borderId="3" xfId="0" applyFont="1" applyBorder="1" applyAlignment="1">
      <alignment horizontal="left" vertical="center"/>
    </xf>
    <xf numFmtId="0" fontId="6" fillId="5" borderId="5" xfId="0" applyFont="1" applyFill="1" applyBorder="1" applyAlignment="1">
      <alignment horizontal="left" vertical="center"/>
    </xf>
    <xf numFmtId="0" fontId="0" fillId="3" borderId="0" xfId="0" applyFill="1" applyAlignment="1">
      <alignment horizontal="left" vertical="center"/>
    </xf>
    <xf numFmtId="0" fontId="0" fillId="11" borderId="0" xfId="0" applyFill="1" applyAlignment="1">
      <alignment horizontal="left" vertical="center"/>
    </xf>
    <xf numFmtId="0" fontId="6" fillId="4" borderId="0" xfId="0" applyFont="1" applyFill="1" applyAlignment="1">
      <alignment horizontal="left" vertical="center"/>
    </xf>
    <xf numFmtId="0" fontId="2" fillId="4" borderId="0" xfId="0" applyFont="1" applyFill="1" applyAlignment="1">
      <alignment horizontal="left" vertical="center" wrapText="1"/>
    </xf>
    <xf numFmtId="0" fontId="7" fillId="0" borderId="0" xfId="0" applyFont="1" applyAlignment="1">
      <alignment horizontal="left"/>
    </xf>
    <xf numFmtId="0" fontId="7" fillId="0" borderId="0" xfId="0" quotePrefix="1" applyFont="1" applyAlignment="1">
      <alignment horizontal="left"/>
    </xf>
    <xf numFmtId="14" fontId="7" fillId="0" borderId="0" xfId="0" applyNumberFormat="1" applyFont="1" applyAlignment="1">
      <alignment horizontal="left"/>
    </xf>
    <xf numFmtId="0" fontId="7" fillId="0" borderId="0" xfId="0" applyFont="1" applyAlignment="1">
      <alignment horizontal="left" wrapText="1"/>
    </xf>
    <xf numFmtId="0" fontId="6" fillId="7" borderId="0" xfId="0" applyFont="1" applyFill="1" applyAlignment="1">
      <alignment horizontal="center"/>
    </xf>
    <xf numFmtId="0" fontId="8" fillId="0" borderId="16" xfId="0" applyFont="1" applyBorder="1" applyAlignment="1">
      <alignment horizontal="center" vertical="top"/>
    </xf>
    <xf numFmtId="0" fontId="8" fillId="0" borderId="21" xfId="0" applyFont="1" applyBorder="1" applyAlignment="1">
      <alignment horizontal="center" vertical="top" wrapText="1"/>
    </xf>
    <xf numFmtId="0" fontId="5" fillId="0" borderId="0" xfId="0" applyFont="1" applyAlignment="1">
      <alignment horizontal="center" vertical="center" wrapText="1"/>
    </xf>
    <xf numFmtId="0" fontId="19" fillId="3" borderId="0" xfId="0" applyFont="1" applyFill="1" applyAlignment="1">
      <alignment horizontal="center"/>
    </xf>
    <xf numFmtId="0" fontId="19" fillId="6" borderId="0" xfId="0" applyFont="1" applyFill="1" applyAlignment="1">
      <alignment horizontal="center" vertical="center" wrapText="1"/>
    </xf>
    <xf numFmtId="0" fontId="19" fillId="10" borderId="0" xfId="0" applyFont="1" applyFill="1" applyAlignment="1">
      <alignment horizontal="center"/>
    </xf>
    <xf numFmtId="0" fontId="19" fillId="10" borderId="0" xfId="0" applyFont="1" applyFill="1" applyAlignment="1">
      <alignment horizontal="center" vertical="center"/>
    </xf>
    <xf numFmtId="0" fontId="19" fillId="3" borderId="0" xfId="0" applyFont="1" applyFill="1" applyAlignment="1">
      <alignment horizontal="center" vertical="center"/>
    </xf>
    <xf numFmtId="0" fontId="18" fillId="3" borderId="0" xfId="0" applyFont="1" applyFill="1" applyAlignment="1">
      <alignment horizontal="center"/>
    </xf>
    <xf numFmtId="0" fontId="32" fillId="0" borderId="8" xfId="0" applyFont="1" applyBorder="1" applyAlignment="1">
      <alignment horizontal="center"/>
    </xf>
    <xf numFmtId="0" fontId="32" fillId="0" borderId="9" xfId="0" applyFont="1" applyBorder="1" applyAlignment="1">
      <alignment horizontal="center"/>
    </xf>
    <xf numFmtId="0" fontId="32" fillId="0" borderId="10" xfId="0" applyFont="1" applyBorder="1" applyAlignment="1">
      <alignment horizontal="center"/>
    </xf>
  </cellXfs>
  <cellStyles count="3">
    <cellStyle name="Comma 2" xfId="2" xr:uid="{FC4AC1F3-DEC6-AA4D-A2DA-F0D078552F73}"/>
    <cellStyle name="Normal" xfId="0" builtinId="0"/>
    <cellStyle name="Normal 3" xfId="1" xr:uid="{A48CBCBD-DC06-481C-973C-62B8E7D8A91E}"/>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ailine Molina" id="{DA8B297B-B254-4ED8-AA77-DAE7E78B4488}" userId="jailine.molina@envisionblockchain.com" providerId="PeoplePicker"/>
  <person displayName="Jailine Molina" id="{7370C822-8B87-4243-8206-B4758FC5B2E7}" userId="S::jailine.molina@envisionblockchain.com::dcbde9ba-19ec-4293-81b0-e7f5b6f86adb" providerId="AD"/>
  <person displayName="Gautam Prajapati" id="{1119DA46-D702-4DB7-83E8-893DA19AA8EE}" userId="S::gautam.prajapati@envisionblockchain.com::74000f77-6fa8-4eb9-b920-bc2e497a859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41" dT="2023-09-19T14:43:00.79" personId="{1119DA46-D702-4DB7-83E8-893DA19AA8EE}" id="{8D5C406E-9333-403D-86E3-6C9AB51D26CF}">
    <text xml:space="preserve">@Jailine Molina Methodology mentions using an uncertainty factor  of 1.12, I'm assuming that means multiplying the final calculated value with 1.12. Please correct me if I'm wrong. </text>
    <mentions>
      <mention mentionpersonId="{DA8B297B-B254-4ED8-AA77-DAE7E78B4488}" mentionId="{76E9F998-4178-48DB-833D-B8C08C775C55}" startIndex="0" length="15"/>
    </mentions>
  </threadedComment>
  <threadedComment ref="I141" dT="2023-09-19T14:49:29.50" personId="{7370C822-8B87-4243-8206-B4758FC5B2E7}" id="{DFC03DB7-BB84-429D-A22A-D119C8D2B78B}" parentId="{8D5C406E-9333-403D-86E3-6C9AB51D26CF}">
    <text>That's correct</text>
  </threadedComment>
  <threadedComment ref="I141" dT="2023-09-19T14:56:20.32" personId="{1119DA46-D702-4DB7-83E8-893DA19AA8EE}" id="{0E356A11-34EB-4117-AEED-1174D09C5BB4}" parentId="{8D5C406E-9333-403D-86E3-6C9AB51D26CF}">
    <text xml:space="preserve">Thanks. Please let me know right here by commenting on a relevant cell if there are any questions or concerns.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9"/>
  <sheetViews>
    <sheetView tabSelected="1" topLeftCell="A94" workbookViewId="0">
      <selection activeCell="H108" sqref="H108"/>
    </sheetView>
  </sheetViews>
  <sheetFormatPr defaultColWidth="8.85546875" defaultRowHeight="15"/>
  <cols>
    <col min="1" max="1" width="13.140625" style="76" customWidth="1"/>
    <col min="2" max="2" width="17.28515625" customWidth="1"/>
    <col min="3" max="3" width="20.42578125" style="76" customWidth="1"/>
    <col min="4" max="4" width="20.42578125" style="218" customWidth="1"/>
    <col min="5" max="5" width="20.42578125" style="162" customWidth="1"/>
    <col min="6" max="6" width="19.42578125" customWidth="1"/>
    <col min="7" max="7" width="54.42578125" style="1" customWidth="1"/>
    <col min="8" max="8" width="71" style="89" customWidth="1"/>
    <col min="9" max="9" width="58.7109375" style="1" customWidth="1"/>
  </cols>
  <sheetData>
    <row r="1" spans="1:9">
      <c r="A1" s="141" t="s">
        <v>0</v>
      </c>
      <c r="B1" s="3" t="s">
        <v>1</v>
      </c>
      <c r="C1" s="141" t="s">
        <v>2</v>
      </c>
      <c r="D1" s="216" t="s">
        <v>3</v>
      </c>
      <c r="E1" s="163" t="s">
        <v>4</v>
      </c>
      <c r="F1" s="3" t="s">
        <v>5</v>
      </c>
      <c r="G1" s="8" t="s">
        <v>6</v>
      </c>
      <c r="H1" s="177" t="s">
        <v>7</v>
      </c>
      <c r="I1" s="8" t="s">
        <v>8</v>
      </c>
    </row>
    <row r="2" spans="1:9" ht="21">
      <c r="A2" s="213" t="s">
        <v>9</v>
      </c>
      <c r="B2" s="213"/>
      <c r="C2" s="213"/>
      <c r="D2" s="217"/>
      <c r="E2" s="213"/>
      <c r="F2" s="213"/>
      <c r="G2" s="213"/>
      <c r="H2" s="213"/>
      <c r="I2" s="213"/>
    </row>
    <row r="3" spans="1:9" ht="15.75">
      <c r="A3" s="2" t="s">
        <v>10</v>
      </c>
      <c r="B3" s="2"/>
      <c r="C3" s="142" t="s">
        <v>11</v>
      </c>
      <c r="D3" s="135"/>
      <c r="E3" s="2" t="s">
        <v>12</v>
      </c>
      <c r="F3" s="2" t="s">
        <v>13</v>
      </c>
      <c r="G3" s="2" t="s">
        <v>14</v>
      </c>
      <c r="H3" s="234" t="s">
        <v>15</v>
      </c>
      <c r="I3"/>
    </row>
    <row r="4" spans="1:9" ht="15.75">
      <c r="A4" s="2" t="s">
        <v>10</v>
      </c>
      <c r="B4" s="2"/>
      <c r="C4" s="142" t="s">
        <v>11</v>
      </c>
      <c r="D4" s="135" t="s">
        <v>16</v>
      </c>
      <c r="E4" s="2" t="s">
        <v>12</v>
      </c>
      <c r="F4" s="2" t="s">
        <v>13</v>
      </c>
      <c r="G4" s="2" t="s">
        <v>17</v>
      </c>
      <c r="H4" s="234" t="s">
        <v>18</v>
      </c>
      <c r="I4"/>
    </row>
    <row r="5" spans="1:9" ht="15.75">
      <c r="A5" s="2" t="s">
        <v>10</v>
      </c>
      <c r="B5" s="2"/>
      <c r="C5" s="142" t="s">
        <v>11</v>
      </c>
      <c r="D5" s="135" t="s">
        <v>19</v>
      </c>
      <c r="E5" s="2" t="s">
        <v>12</v>
      </c>
      <c r="F5" s="2" t="s">
        <v>13</v>
      </c>
      <c r="G5" s="2" t="s">
        <v>20</v>
      </c>
      <c r="H5" s="234" t="s">
        <v>21</v>
      </c>
      <c r="I5"/>
    </row>
    <row r="6" spans="1:9" ht="15.75">
      <c r="A6" s="2" t="s">
        <v>10</v>
      </c>
      <c r="B6" s="2"/>
      <c r="C6" s="142" t="s">
        <v>11</v>
      </c>
      <c r="D6" s="135"/>
      <c r="E6" s="2" t="s">
        <v>12</v>
      </c>
      <c r="F6" s="2" t="s">
        <v>13</v>
      </c>
      <c r="G6" s="2" t="s">
        <v>22</v>
      </c>
      <c r="H6" s="234" t="s">
        <v>23</v>
      </c>
      <c r="I6"/>
    </row>
    <row r="7" spans="1:9" ht="15.75">
      <c r="A7" s="2" t="s">
        <v>10</v>
      </c>
      <c r="B7" s="2"/>
      <c r="C7" s="142" t="s">
        <v>11</v>
      </c>
      <c r="D7" s="135" t="s">
        <v>24</v>
      </c>
      <c r="E7" s="2" t="s">
        <v>12</v>
      </c>
      <c r="F7" s="2" t="s">
        <v>13</v>
      </c>
      <c r="G7" s="2" t="s">
        <v>25</v>
      </c>
      <c r="H7" s="234" t="s">
        <v>26</v>
      </c>
      <c r="I7"/>
    </row>
    <row r="8" spans="1:9" ht="15.75">
      <c r="A8" s="2"/>
      <c r="B8" s="2"/>
      <c r="C8" s="142" t="s">
        <v>10</v>
      </c>
      <c r="D8" s="135" t="s">
        <v>27</v>
      </c>
      <c r="E8" s="2" t="s">
        <v>12</v>
      </c>
      <c r="F8" s="2" t="s">
        <v>13</v>
      </c>
      <c r="G8" s="2" t="s">
        <v>28</v>
      </c>
      <c r="H8" s="234">
        <v>-12.05</v>
      </c>
      <c r="I8"/>
    </row>
    <row r="9" spans="1:9" ht="15.75">
      <c r="A9" s="2"/>
      <c r="B9" s="2"/>
      <c r="C9" s="142" t="s">
        <v>10</v>
      </c>
      <c r="D9" s="135" t="s">
        <v>29</v>
      </c>
      <c r="E9" s="2" t="s">
        <v>12</v>
      </c>
      <c r="F9" s="2" t="s">
        <v>13</v>
      </c>
      <c r="G9" s="2" t="s">
        <v>30</v>
      </c>
      <c r="H9" s="234">
        <v>96.95</v>
      </c>
      <c r="I9"/>
    </row>
    <row r="10" spans="1:9" ht="60">
      <c r="A10" s="2" t="s">
        <v>10</v>
      </c>
      <c r="B10" s="2"/>
      <c r="C10" s="142" t="s">
        <v>10</v>
      </c>
      <c r="D10" s="135" t="s">
        <v>31</v>
      </c>
      <c r="E10" s="2" t="s">
        <v>32</v>
      </c>
      <c r="F10" s="2" t="s">
        <v>13</v>
      </c>
      <c r="G10" s="7" t="s">
        <v>33</v>
      </c>
      <c r="H10" s="234" t="s">
        <v>34</v>
      </c>
      <c r="I10"/>
    </row>
    <row r="11" spans="1:9" ht="15.75">
      <c r="A11" s="2" t="s">
        <v>10</v>
      </c>
      <c r="B11" s="2"/>
      <c r="C11" s="142" t="s">
        <v>11</v>
      </c>
      <c r="D11" s="135"/>
      <c r="E11" s="2" t="s">
        <v>12</v>
      </c>
      <c r="F11" s="2" t="s">
        <v>13</v>
      </c>
      <c r="G11" s="2" t="s">
        <v>35</v>
      </c>
      <c r="H11" s="234" t="s">
        <v>36</v>
      </c>
      <c r="I11"/>
    </row>
    <row r="12" spans="1:9" ht="15.75">
      <c r="A12" s="2" t="s">
        <v>10</v>
      </c>
      <c r="B12" s="2"/>
      <c r="C12" s="142" t="s">
        <v>10</v>
      </c>
      <c r="D12" s="135" t="s">
        <v>37</v>
      </c>
      <c r="E12" s="2" t="s">
        <v>12</v>
      </c>
      <c r="F12" s="2" t="s">
        <v>13</v>
      </c>
      <c r="G12" s="2" t="s">
        <v>38</v>
      </c>
      <c r="H12" s="234" t="s">
        <v>39</v>
      </c>
      <c r="I12"/>
    </row>
    <row r="13" spans="1:9" ht="15.75">
      <c r="A13" s="2" t="s">
        <v>10</v>
      </c>
      <c r="B13" s="2"/>
      <c r="C13" s="142" t="s">
        <v>10</v>
      </c>
      <c r="D13" s="135"/>
      <c r="E13" s="2" t="s">
        <v>12</v>
      </c>
      <c r="F13" s="2" t="s">
        <v>13</v>
      </c>
      <c r="G13" s="2" t="s">
        <v>40</v>
      </c>
      <c r="H13" s="234" t="s">
        <v>41</v>
      </c>
      <c r="I13"/>
    </row>
    <row r="14" spans="1:9" ht="15.75">
      <c r="A14" s="2" t="s">
        <v>10</v>
      </c>
      <c r="B14" s="2"/>
      <c r="C14" s="142" t="s">
        <v>10</v>
      </c>
      <c r="D14" s="135"/>
      <c r="E14" s="2" t="s">
        <v>12</v>
      </c>
      <c r="F14" s="2" t="s">
        <v>13</v>
      </c>
      <c r="G14" s="2" t="s">
        <v>42</v>
      </c>
      <c r="H14" s="234" t="s">
        <v>43</v>
      </c>
      <c r="I14"/>
    </row>
    <row r="15" spans="1:9" ht="15.75">
      <c r="A15" s="2" t="s">
        <v>10</v>
      </c>
      <c r="B15" s="2"/>
      <c r="C15" s="142" t="s">
        <v>10</v>
      </c>
      <c r="D15" s="135" t="s">
        <v>44</v>
      </c>
      <c r="E15" s="2" t="s">
        <v>45</v>
      </c>
      <c r="F15" s="2" t="s">
        <v>13</v>
      </c>
      <c r="G15" s="2" t="s">
        <v>46</v>
      </c>
      <c r="H15" s="234" t="s">
        <v>47</v>
      </c>
      <c r="I15"/>
    </row>
    <row r="16" spans="1:9" ht="15.75">
      <c r="A16" s="2" t="s">
        <v>10</v>
      </c>
      <c r="B16" s="2"/>
      <c r="C16" s="142" t="s">
        <v>10</v>
      </c>
      <c r="D16" s="135" t="s">
        <v>48</v>
      </c>
      <c r="E16" s="2" t="s">
        <v>45</v>
      </c>
      <c r="F16" s="2" t="s">
        <v>13</v>
      </c>
      <c r="G16" s="2" t="s">
        <v>49</v>
      </c>
      <c r="H16" s="234" t="s">
        <v>50</v>
      </c>
      <c r="I16"/>
    </row>
    <row r="17" spans="1:9" ht="15.75">
      <c r="A17" s="2" t="s">
        <v>10</v>
      </c>
      <c r="B17" s="2"/>
      <c r="C17" s="142" t="s">
        <v>10</v>
      </c>
      <c r="D17" s="135"/>
      <c r="E17" s="2" t="s">
        <v>51</v>
      </c>
      <c r="F17" s="2" t="s">
        <v>13</v>
      </c>
      <c r="G17" s="2" t="s">
        <v>52</v>
      </c>
      <c r="H17" s="235" t="s">
        <v>53</v>
      </c>
      <c r="I17"/>
    </row>
    <row r="18" spans="1:9" ht="15.75">
      <c r="A18" s="2" t="s">
        <v>10</v>
      </c>
      <c r="B18" s="2"/>
      <c r="C18" s="142" t="s">
        <v>10</v>
      </c>
      <c r="D18" s="135"/>
      <c r="E18" s="2" t="s">
        <v>54</v>
      </c>
      <c r="F18" s="2" t="s">
        <v>13</v>
      </c>
      <c r="G18" s="2" t="s">
        <v>55</v>
      </c>
      <c r="H18" s="234" t="s">
        <v>56</v>
      </c>
      <c r="I18"/>
    </row>
    <row r="19" spans="1:9" ht="15.75">
      <c r="A19" s="2" t="s">
        <v>10</v>
      </c>
      <c r="B19" s="2"/>
      <c r="C19" s="142" t="s">
        <v>10</v>
      </c>
      <c r="D19" s="135" t="s">
        <v>57</v>
      </c>
      <c r="E19" s="2" t="s">
        <v>12</v>
      </c>
      <c r="F19" s="2" t="s">
        <v>13</v>
      </c>
      <c r="G19" s="2" t="s">
        <v>58</v>
      </c>
      <c r="H19" s="234" t="s">
        <v>59</v>
      </c>
      <c r="I19"/>
    </row>
    <row r="20" spans="1:9" ht="15.75">
      <c r="A20" s="2" t="s">
        <v>10</v>
      </c>
      <c r="B20" s="2"/>
      <c r="C20" s="142" t="s">
        <v>11</v>
      </c>
      <c r="D20" s="135"/>
      <c r="E20" s="2" t="s">
        <v>12</v>
      </c>
      <c r="F20" s="2" t="s">
        <v>13</v>
      </c>
      <c r="G20" s="2" t="s">
        <v>60</v>
      </c>
      <c r="H20" s="234" t="s">
        <v>61</v>
      </c>
      <c r="I20"/>
    </row>
    <row r="21" spans="1:9" ht="15.75">
      <c r="A21" s="2" t="s">
        <v>10</v>
      </c>
      <c r="B21" s="2"/>
      <c r="C21" s="142" t="s">
        <v>11</v>
      </c>
      <c r="D21" s="135"/>
      <c r="E21" s="2" t="s">
        <v>12</v>
      </c>
      <c r="F21" s="2" t="s">
        <v>13</v>
      </c>
      <c r="G21" s="2" t="s">
        <v>62</v>
      </c>
      <c r="H21" s="234" t="s">
        <v>63</v>
      </c>
      <c r="I21"/>
    </row>
    <row r="22" spans="1:9" ht="15.75">
      <c r="A22" s="2" t="s">
        <v>10</v>
      </c>
      <c r="B22" s="2"/>
      <c r="C22" s="142" t="s">
        <v>11</v>
      </c>
      <c r="D22" s="135"/>
      <c r="E22" s="2" t="s">
        <v>12</v>
      </c>
      <c r="F22" s="2" t="s">
        <v>13</v>
      </c>
      <c r="G22" s="2" t="s">
        <v>64</v>
      </c>
      <c r="H22" s="234" t="s">
        <v>65</v>
      </c>
      <c r="I22"/>
    </row>
    <row r="23" spans="1:9" ht="15.75">
      <c r="A23" s="2" t="s">
        <v>10</v>
      </c>
      <c r="B23" s="2"/>
      <c r="C23" s="142" t="s">
        <v>11</v>
      </c>
      <c r="D23" s="135" t="s">
        <v>66</v>
      </c>
      <c r="E23" s="2" t="s">
        <v>67</v>
      </c>
      <c r="F23" s="2" t="s">
        <v>13</v>
      </c>
      <c r="G23" s="2" t="s">
        <v>68</v>
      </c>
      <c r="H23" s="237" t="s">
        <v>69</v>
      </c>
      <c r="I23"/>
    </row>
    <row r="24" spans="1:9" ht="15.75">
      <c r="A24" s="2" t="s">
        <v>10</v>
      </c>
      <c r="B24" s="2"/>
      <c r="C24" s="142" t="s">
        <v>11</v>
      </c>
      <c r="D24" s="135"/>
      <c r="E24" s="2" t="s">
        <v>70</v>
      </c>
      <c r="F24" s="2" t="s">
        <v>13</v>
      </c>
      <c r="G24" s="2" t="s">
        <v>71</v>
      </c>
      <c r="H24" s="236">
        <v>44564</v>
      </c>
      <c r="I24"/>
    </row>
    <row r="25" spans="1:9" ht="15.75">
      <c r="A25" s="2" t="s">
        <v>10</v>
      </c>
      <c r="B25" s="2"/>
      <c r="C25" s="142" t="s">
        <v>10</v>
      </c>
      <c r="D25" s="135"/>
      <c r="E25" s="2" t="s">
        <v>72</v>
      </c>
      <c r="F25" s="2" t="s">
        <v>13</v>
      </c>
      <c r="G25" s="135" t="s">
        <v>73</v>
      </c>
      <c r="H25" s="234" t="s">
        <v>74</v>
      </c>
      <c r="I25"/>
    </row>
    <row r="26" spans="1:9" ht="15.75">
      <c r="A26" s="2" t="s">
        <v>10</v>
      </c>
      <c r="B26" s="2"/>
      <c r="C26" s="142" t="s">
        <v>10</v>
      </c>
      <c r="D26" s="41"/>
      <c r="E26" s="2" t="s">
        <v>72</v>
      </c>
      <c r="F26" s="2" t="s">
        <v>13</v>
      </c>
      <c r="G26" s="135" t="s">
        <v>75</v>
      </c>
      <c r="H26" s="234" t="s">
        <v>76</v>
      </c>
      <c r="I26"/>
    </row>
    <row r="27" spans="1:9" ht="15.75">
      <c r="A27" s="2" t="s">
        <v>10</v>
      </c>
      <c r="B27" s="2"/>
      <c r="C27" s="142" t="s">
        <v>11</v>
      </c>
      <c r="D27" s="135"/>
      <c r="E27" s="2" t="s">
        <v>12</v>
      </c>
      <c r="F27" s="2" t="s">
        <v>13</v>
      </c>
      <c r="G27" s="135" t="s">
        <v>77</v>
      </c>
      <c r="H27" s="234" t="s">
        <v>78</v>
      </c>
      <c r="I27"/>
    </row>
    <row r="28" spans="1:9" ht="15.75">
      <c r="A28" s="2" t="s">
        <v>10</v>
      </c>
      <c r="B28" s="2"/>
      <c r="C28" s="142" t="s">
        <v>11</v>
      </c>
      <c r="D28" s="135"/>
      <c r="E28" s="2" t="s">
        <v>12</v>
      </c>
      <c r="F28" s="2" t="s">
        <v>13</v>
      </c>
      <c r="G28" t="s">
        <v>79</v>
      </c>
      <c r="H28" s="234" t="s">
        <v>80</v>
      </c>
      <c r="I28"/>
    </row>
    <row r="29" spans="1:9" ht="15.75">
      <c r="A29" s="2" t="s">
        <v>10</v>
      </c>
      <c r="B29" s="2"/>
      <c r="C29" s="142" t="s">
        <v>10</v>
      </c>
      <c r="D29" s="135" t="s">
        <v>81</v>
      </c>
      <c r="E29" s="2" t="s">
        <v>12</v>
      </c>
      <c r="F29" s="2" t="s">
        <v>13</v>
      </c>
      <c r="G29" t="s">
        <v>82</v>
      </c>
      <c r="H29" s="234" t="s">
        <v>83</v>
      </c>
      <c r="I29"/>
    </row>
    <row r="30" spans="1:9" ht="15.75">
      <c r="A30" s="2" t="s">
        <v>10</v>
      </c>
      <c r="B30" s="2"/>
      <c r="C30" s="142" t="s">
        <v>11</v>
      </c>
      <c r="D30" s="135"/>
      <c r="E30" s="2" t="s">
        <v>12</v>
      </c>
      <c r="F30" s="2" t="s">
        <v>13</v>
      </c>
      <c r="G30" t="s">
        <v>84</v>
      </c>
      <c r="H30" s="234" t="s">
        <v>85</v>
      </c>
      <c r="I30"/>
    </row>
    <row r="31" spans="1:9" ht="21" customHeight="1">
      <c r="A31" s="213" t="s">
        <v>86</v>
      </c>
      <c r="B31" s="214"/>
      <c r="C31" s="214"/>
      <c r="D31" s="219"/>
      <c r="E31" s="214"/>
      <c r="F31" s="214"/>
      <c r="G31" s="214"/>
      <c r="H31" s="214"/>
      <c r="I31" s="214"/>
    </row>
    <row r="32" spans="1:9" ht="63" customHeight="1">
      <c r="A32" s="146" t="s">
        <v>10</v>
      </c>
      <c r="B32" s="79"/>
      <c r="C32" s="156" t="s">
        <v>87</v>
      </c>
      <c r="D32" s="220"/>
      <c r="E32" s="175" t="s">
        <v>88</v>
      </c>
      <c r="F32" s="144" t="s">
        <v>6</v>
      </c>
      <c r="G32" s="79" t="s">
        <v>89</v>
      </c>
      <c r="H32" s="178" t="s">
        <v>10</v>
      </c>
      <c r="I32" s="161" t="s">
        <v>90</v>
      </c>
    </row>
    <row r="33" spans="1:10">
      <c r="A33" s="141"/>
      <c r="B33" s="3"/>
      <c r="C33" s="141"/>
      <c r="D33" s="216"/>
      <c r="E33" s="163"/>
      <c r="F33" s="3"/>
      <c r="G33" s="8"/>
      <c r="H33" s="177"/>
      <c r="I33" s="8"/>
    </row>
    <row r="34" spans="1:10" ht="30">
      <c r="A34" s="141" t="s">
        <v>10</v>
      </c>
      <c r="B34" s="3"/>
      <c r="C34" s="141" t="s">
        <v>11</v>
      </c>
      <c r="D34" s="216"/>
      <c r="E34" s="163" t="s">
        <v>91</v>
      </c>
      <c r="F34" s="3" t="s">
        <v>92</v>
      </c>
      <c r="G34" s="8" t="s">
        <v>93</v>
      </c>
      <c r="H34" s="177">
        <v>2022</v>
      </c>
      <c r="I34" s="8"/>
    </row>
    <row r="35" spans="1:10" ht="30" customHeight="1">
      <c r="A35" s="58" t="s">
        <v>94</v>
      </c>
      <c r="B35" s="58"/>
      <c r="C35" s="58"/>
      <c r="D35" s="210"/>
      <c r="E35" s="58"/>
      <c r="F35" s="58"/>
      <c r="G35" s="58"/>
      <c r="H35" s="58"/>
      <c r="I35" s="58"/>
    </row>
    <row r="36" spans="1:10">
      <c r="A36" s="147" t="s">
        <v>10</v>
      </c>
      <c r="B36" s="37"/>
      <c r="C36" s="147" t="s">
        <v>11</v>
      </c>
      <c r="D36" s="221"/>
      <c r="E36" s="164" t="s">
        <v>95</v>
      </c>
      <c r="F36" s="37" t="s">
        <v>96</v>
      </c>
      <c r="G36" s="42" t="s">
        <v>97</v>
      </c>
      <c r="H36" s="179">
        <f>SUM(H37 + H39 + H55 + H107 + H112)</f>
        <v>78590.105833333335</v>
      </c>
      <c r="I36" s="37" t="s">
        <v>98</v>
      </c>
    </row>
    <row r="37" spans="1:10" ht="60">
      <c r="A37" s="145" t="s">
        <v>10</v>
      </c>
      <c r="B37" s="2"/>
      <c r="C37" s="145" t="s">
        <v>11</v>
      </c>
      <c r="D37" s="208"/>
      <c r="E37" s="142" t="s">
        <v>99</v>
      </c>
      <c r="F37" s="2" t="s">
        <v>99</v>
      </c>
      <c r="G37" s="8" t="s">
        <v>100</v>
      </c>
      <c r="H37" s="143">
        <f>'Tool 03'!$G$3 +  'Tool 05.1'!$G$6</f>
        <v>74.068333333333328</v>
      </c>
      <c r="I37" s="9" t="s">
        <v>101</v>
      </c>
    </row>
    <row r="38" spans="1:10">
      <c r="A38" s="145"/>
      <c r="B38" s="2"/>
      <c r="C38" s="145"/>
      <c r="D38" s="208"/>
      <c r="E38" s="142"/>
      <c r="F38" s="3"/>
      <c r="G38" s="8"/>
      <c r="H38" s="143"/>
      <c r="I38" s="9"/>
    </row>
    <row r="39" spans="1:10" ht="30">
      <c r="A39" s="148" t="s">
        <v>10</v>
      </c>
      <c r="B39" s="24"/>
      <c r="C39" s="148" t="s">
        <v>11</v>
      </c>
      <c r="D39" s="222"/>
      <c r="E39" s="165" t="s">
        <v>95</v>
      </c>
      <c r="F39" s="25" t="s">
        <v>102</v>
      </c>
      <c r="G39" s="26" t="s">
        <v>103</v>
      </c>
      <c r="H39" s="180">
        <f>SUM(H41*H42*H43*H44*H51*H52*H53, H46*H47*H48*H49*H51*H52*H53)</f>
        <v>78320</v>
      </c>
      <c r="I39" s="129"/>
    </row>
    <row r="40" spans="1:10" ht="29.25" customHeight="1">
      <c r="A40" s="241" t="s">
        <v>104</v>
      </c>
      <c r="B40" s="241"/>
      <c r="C40" s="241"/>
      <c r="D40" s="241"/>
      <c r="E40" s="241"/>
      <c r="F40" s="241"/>
      <c r="G40" s="241"/>
      <c r="H40" s="241"/>
      <c r="I40" s="7"/>
    </row>
    <row r="41" spans="1:10" ht="30">
      <c r="A41" s="145" t="s">
        <v>10</v>
      </c>
      <c r="B41" s="2"/>
      <c r="C41" s="145" t="s">
        <v>11</v>
      </c>
      <c r="D41" s="208"/>
      <c r="E41" s="142" t="s">
        <v>99</v>
      </c>
      <c r="F41" s="2" t="s">
        <v>105</v>
      </c>
      <c r="G41" s="7" t="s">
        <v>106</v>
      </c>
      <c r="H41" s="143">
        <v>50000</v>
      </c>
      <c r="I41" s="7"/>
    </row>
    <row r="42" spans="1:10" ht="45">
      <c r="A42" s="145" t="s">
        <v>10</v>
      </c>
      <c r="B42" s="2"/>
      <c r="C42" s="145" t="s">
        <v>11</v>
      </c>
      <c r="D42" s="208"/>
      <c r="E42" s="142" t="s">
        <v>99</v>
      </c>
      <c r="F42" s="2" t="s">
        <v>107</v>
      </c>
      <c r="G42" s="7" t="s">
        <v>108</v>
      </c>
      <c r="H42" s="143">
        <v>0.2</v>
      </c>
      <c r="I42" s="7"/>
    </row>
    <row r="43" spans="1:10" ht="30">
      <c r="A43" s="145" t="s">
        <v>10</v>
      </c>
      <c r="B43" s="2"/>
      <c r="C43" s="145" t="s">
        <v>11</v>
      </c>
      <c r="D43" s="208"/>
      <c r="E43" s="142" t="s">
        <v>99</v>
      </c>
      <c r="F43" s="2" t="s">
        <v>109</v>
      </c>
      <c r="G43" s="7" t="s">
        <v>110</v>
      </c>
      <c r="H43" s="143">
        <v>0.8</v>
      </c>
      <c r="I43" s="7"/>
    </row>
    <row r="44" spans="1:10" s="17" customFormat="1" ht="30">
      <c r="A44" s="148" t="s">
        <v>10</v>
      </c>
      <c r="B44" s="24"/>
      <c r="C44" s="148" t="s">
        <v>11</v>
      </c>
      <c r="D44" s="222"/>
      <c r="E44" s="165" t="s">
        <v>88</v>
      </c>
      <c r="F44" s="24" t="s">
        <v>111</v>
      </c>
      <c r="G44" s="27" t="s">
        <v>112</v>
      </c>
      <c r="H44" s="180">
        <f>Defaults!B8</f>
        <v>0.8</v>
      </c>
      <c r="I44" s="27"/>
      <c r="J44"/>
    </row>
    <row r="45" spans="1:10" ht="29.25" customHeight="1">
      <c r="A45" s="241" t="s">
        <v>104</v>
      </c>
      <c r="B45" s="241"/>
      <c r="C45" s="241"/>
      <c r="D45" s="241"/>
      <c r="E45" s="241"/>
      <c r="F45" s="241"/>
      <c r="G45" s="241"/>
      <c r="H45" s="241"/>
      <c r="I45" s="7"/>
    </row>
    <row r="46" spans="1:10" ht="30">
      <c r="A46" s="145" t="s">
        <v>10</v>
      </c>
      <c r="B46" s="2"/>
      <c r="C46" s="145" t="s">
        <v>11</v>
      </c>
      <c r="D46" s="208"/>
      <c r="E46" s="142" t="s">
        <v>99</v>
      </c>
      <c r="F46" s="2" t="s">
        <v>105</v>
      </c>
      <c r="G46" s="7" t="s">
        <v>113</v>
      </c>
      <c r="H46" s="143">
        <v>40000</v>
      </c>
      <c r="I46" s="7"/>
    </row>
    <row r="47" spans="1:10" ht="45">
      <c r="A47" s="145" t="s">
        <v>10</v>
      </c>
      <c r="B47" s="2"/>
      <c r="C47" s="145" t="s">
        <v>11</v>
      </c>
      <c r="D47" s="208"/>
      <c r="E47" s="142" t="s">
        <v>99</v>
      </c>
      <c r="F47" s="2" t="s">
        <v>107</v>
      </c>
      <c r="G47" s="7" t="s">
        <v>114</v>
      </c>
      <c r="H47" s="143">
        <v>0.3</v>
      </c>
      <c r="I47" s="7"/>
    </row>
    <row r="48" spans="1:10" ht="30">
      <c r="A48" s="145" t="s">
        <v>10</v>
      </c>
      <c r="B48" s="2"/>
      <c r="C48" s="145" t="s">
        <v>11</v>
      </c>
      <c r="D48" s="208"/>
      <c r="E48" s="142" t="s">
        <v>99</v>
      </c>
      <c r="F48" s="2" t="s">
        <v>109</v>
      </c>
      <c r="G48" s="7" t="s">
        <v>115</v>
      </c>
      <c r="H48" s="143">
        <v>0.8</v>
      </c>
      <c r="I48" s="7"/>
    </row>
    <row r="49" spans="1:12" s="17" customFormat="1" ht="30">
      <c r="A49" s="148" t="s">
        <v>10</v>
      </c>
      <c r="B49" s="24"/>
      <c r="C49" s="148" t="s">
        <v>11</v>
      </c>
      <c r="D49" s="222"/>
      <c r="E49" s="165" t="s">
        <v>88</v>
      </c>
      <c r="F49" s="24" t="s">
        <v>111</v>
      </c>
      <c r="G49" s="27" t="s">
        <v>116</v>
      </c>
      <c r="H49" s="180">
        <f>Defaults!B8</f>
        <v>0.8</v>
      </c>
      <c r="I49" s="27"/>
      <c r="J49"/>
    </row>
    <row r="50" spans="1:12" ht="29.25" customHeight="1">
      <c r="A50" s="241" t="s">
        <v>104</v>
      </c>
      <c r="B50" s="241"/>
      <c r="C50" s="241"/>
      <c r="D50" s="241"/>
      <c r="E50" s="241"/>
      <c r="F50" s="241"/>
      <c r="G50" s="241"/>
      <c r="H50" s="241"/>
      <c r="I50" s="7"/>
    </row>
    <row r="51" spans="1:12" s="17" customFormat="1" ht="30">
      <c r="A51" s="148" t="s">
        <v>10</v>
      </c>
      <c r="B51" s="24"/>
      <c r="C51" s="148"/>
      <c r="D51" s="222"/>
      <c r="E51" s="165" t="s">
        <v>88</v>
      </c>
      <c r="F51" s="24" t="s">
        <v>117</v>
      </c>
      <c r="G51" s="27" t="s">
        <v>118</v>
      </c>
      <c r="H51" s="180">
        <f>Defaults!B2</f>
        <v>0.25</v>
      </c>
      <c r="I51" s="27"/>
      <c r="J51"/>
    </row>
    <row r="52" spans="1:12" s="17" customFormat="1" ht="30">
      <c r="A52" s="148" t="s">
        <v>10</v>
      </c>
      <c r="B52" s="24"/>
      <c r="C52" s="148" t="s">
        <v>11</v>
      </c>
      <c r="D52" s="222"/>
      <c r="E52" s="165" t="s">
        <v>88</v>
      </c>
      <c r="F52" s="24" t="s">
        <v>119</v>
      </c>
      <c r="G52" s="27" t="s">
        <v>120</v>
      </c>
      <c r="H52" s="180">
        <f>Defaults!B3</f>
        <v>0.89</v>
      </c>
      <c r="I52" s="27"/>
      <c r="J52"/>
    </row>
    <row r="53" spans="1:12" s="17" customFormat="1">
      <c r="A53" s="148" t="s">
        <v>10</v>
      </c>
      <c r="B53" s="24"/>
      <c r="C53" s="148" t="s">
        <v>11</v>
      </c>
      <c r="D53" s="222"/>
      <c r="E53" s="165" t="s">
        <v>88</v>
      </c>
      <c r="F53" s="24" t="s">
        <v>121</v>
      </c>
      <c r="G53" s="27" t="s">
        <v>122</v>
      </c>
      <c r="H53" s="180">
        <f>Defaults!B4</f>
        <v>25</v>
      </c>
      <c r="I53" s="27" t="s">
        <v>123</v>
      </c>
      <c r="J53"/>
    </row>
    <row r="54" spans="1:12">
      <c r="A54" s="145"/>
      <c r="B54" s="2"/>
      <c r="C54" s="145"/>
      <c r="D54" s="208"/>
      <c r="E54" s="142"/>
      <c r="F54" s="2"/>
      <c r="G54" s="7"/>
      <c r="H54" s="143"/>
      <c r="I54" s="7"/>
    </row>
    <row r="55" spans="1:12" s="17" customFormat="1" ht="32.25" customHeight="1">
      <c r="A55" s="148" t="s">
        <v>10</v>
      </c>
      <c r="B55" s="24"/>
      <c r="C55" s="148" t="s">
        <v>11</v>
      </c>
      <c r="D55" s="222"/>
      <c r="E55" s="165" t="s">
        <v>95</v>
      </c>
      <c r="F55" s="25" t="s">
        <v>124</v>
      </c>
      <c r="G55" s="27" t="s">
        <v>125</v>
      </c>
      <c r="H55" s="180">
        <f>SUM(H60*H68*H69*H70*H65*H66*H67*16/12, H82*H87*H88*H89*H90*H91*H92*16/12)</f>
        <v>83.437499999999986</v>
      </c>
      <c r="I55" s="78"/>
      <c r="J55"/>
    </row>
    <row r="56" spans="1:12" ht="29.25" customHeight="1">
      <c r="A56" s="241" t="s">
        <v>126</v>
      </c>
      <c r="B56" s="241"/>
      <c r="C56" s="241"/>
      <c r="D56" s="241"/>
      <c r="E56" s="241"/>
      <c r="F56" s="241"/>
      <c r="G56" s="241"/>
      <c r="H56" s="241"/>
      <c r="I56" s="7"/>
    </row>
    <row r="57" spans="1:12" s="54" customFormat="1">
      <c r="A57" s="149" t="s">
        <v>10</v>
      </c>
      <c r="B57" s="50"/>
      <c r="C57" s="149" t="s">
        <v>11</v>
      </c>
      <c r="D57" s="223"/>
      <c r="E57" s="172" t="s">
        <v>127</v>
      </c>
      <c r="F57" s="51" t="s">
        <v>128</v>
      </c>
      <c r="G57" s="52" t="s">
        <v>129</v>
      </c>
      <c r="H57" s="181" t="s">
        <v>11</v>
      </c>
      <c r="I57" s="53" t="s">
        <v>130</v>
      </c>
      <c r="J57"/>
      <c r="K57"/>
      <c r="L57"/>
    </row>
    <row r="58" spans="1:12" s="54" customFormat="1">
      <c r="A58" s="149"/>
      <c r="B58" s="50"/>
      <c r="C58" s="149"/>
      <c r="D58" s="223"/>
      <c r="E58" s="172"/>
      <c r="F58" s="51"/>
      <c r="G58" s="52"/>
      <c r="H58" s="181"/>
      <c r="I58" s="53"/>
      <c r="J58"/>
      <c r="K58"/>
      <c r="L58"/>
    </row>
    <row r="59" spans="1:12" s="54" customFormat="1" ht="30">
      <c r="A59" s="149" t="s">
        <v>10</v>
      </c>
      <c r="B59" s="50"/>
      <c r="C59" s="149" t="s">
        <v>11</v>
      </c>
      <c r="D59" s="223"/>
      <c r="E59" s="166" t="s">
        <v>127</v>
      </c>
      <c r="F59" s="51" t="s">
        <v>128</v>
      </c>
      <c r="G59" s="52" t="s">
        <v>131</v>
      </c>
      <c r="H59" s="181" t="s">
        <v>11</v>
      </c>
      <c r="I59" s="53" t="s">
        <v>132</v>
      </c>
      <c r="J59"/>
      <c r="K59"/>
      <c r="L59"/>
    </row>
    <row r="60" spans="1:12" s="17" customFormat="1" ht="45">
      <c r="A60" s="150" t="s">
        <v>10</v>
      </c>
      <c r="B60" s="36"/>
      <c r="C60" s="157" t="s">
        <v>11</v>
      </c>
      <c r="D60" s="224"/>
      <c r="E60" s="167" t="s">
        <v>95</v>
      </c>
      <c r="F60" s="34" t="s">
        <v>133</v>
      </c>
      <c r="G60" s="33" t="s">
        <v>134</v>
      </c>
      <c r="H60" s="182">
        <f>H61*(H62/H63)</f>
        <v>112.5</v>
      </c>
      <c r="I60" s="33" t="s">
        <v>135</v>
      </c>
      <c r="J60"/>
      <c r="K60"/>
      <c r="L60"/>
    </row>
    <row r="61" spans="1:12" s="11" customFormat="1" ht="30">
      <c r="A61" s="145" t="s">
        <v>10</v>
      </c>
      <c r="B61" s="2"/>
      <c r="C61" s="145" t="s">
        <v>11</v>
      </c>
      <c r="D61" s="208"/>
      <c r="E61" s="142" t="s">
        <v>99</v>
      </c>
      <c r="F61" s="2" t="s">
        <v>136</v>
      </c>
      <c r="G61" s="7" t="s">
        <v>137</v>
      </c>
      <c r="H61" s="143">
        <v>90</v>
      </c>
      <c r="I61" s="122" t="s">
        <v>138</v>
      </c>
      <c r="J61"/>
      <c r="K61"/>
      <c r="L61"/>
    </row>
    <row r="62" spans="1:12" s="11" customFormat="1" ht="45">
      <c r="A62" s="145" t="s">
        <v>10</v>
      </c>
      <c r="B62" s="2"/>
      <c r="C62" s="145" t="s">
        <v>11</v>
      </c>
      <c r="D62" s="208"/>
      <c r="E62" s="142" t="s">
        <v>99</v>
      </c>
      <c r="F62" s="2" t="s">
        <v>139</v>
      </c>
      <c r="G62" s="7" t="s">
        <v>140</v>
      </c>
      <c r="H62" s="143">
        <v>0.05</v>
      </c>
      <c r="I62" s="122" t="s">
        <v>141</v>
      </c>
      <c r="J62"/>
      <c r="K62"/>
      <c r="L62"/>
    </row>
    <row r="63" spans="1:12" s="11" customFormat="1" ht="45">
      <c r="A63" s="145" t="s">
        <v>10</v>
      </c>
      <c r="B63" s="2"/>
      <c r="C63" s="145" t="s">
        <v>11</v>
      </c>
      <c r="D63" s="208"/>
      <c r="E63" s="142" t="s">
        <v>99</v>
      </c>
      <c r="F63" s="2" t="s">
        <v>142</v>
      </c>
      <c r="G63" s="7" t="s">
        <v>143</v>
      </c>
      <c r="H63" s="143">
        <v>0.04</v>
      </c>
      <c r="I63" s="122" t="s">
        <v>141</v>
      </c>
      <c r="J63"/>
      <c r="K63"/>
      <c r="L63"/>
    </row>
    <row r="64" spans="1:12" s="11" customFormat="1">
      <c r="A64" s="145"/>
      <c r="B64" s="2"/>
      <c r="C64" s="145"/>
      <c r="D64" s="208"/>
      <c r="E64" s="142"/>
      <c r="F64" s="2"/>
      <c r="G64" s="7"/>
      <c r="H64" s="143"/>
      <c r="I64" s="122"/>
      <c r="J64"/>
      <c r="K64"/>
      <c r="L64"/>
    </row>
    <row r="65" spans="1:12" s="17" customFormat="1" ht="30">
      <c r="A65" s="150" t="s">
        <v>10</v>
      </c>
      <c r="B65" s="36"/>
      <c r="C65" s="157" t="s">
        <v>11</v>
      </c>
      <c r="D65" s="224"/>
      <c r="E65" s="167" t="s">
        <v>88</v>
      </c>
      <c r="F65" s="33" t="s">
        <v>144</v>
      </c>
      <c r="G65" s="33" t="s">
        <v>145</v>
      </c>
      <c r="H65" s="182">
        <f>Defaults!B5</f>
        <v>0.5</v>
      </c>
      <c r="I65" s="33" t="s">
        <v>146</v>
      </c>
      <c r="J65"/>
      <c r="K65"/>
      <c r="L65"/>
    </row>
    <row r="66" spans="1:12" s="17" customFormat="1" ht="15.75">
      <c r="A66" s="150" t="s">
        <v>10</v>
      </c>
      <c r="B66" s="36"/>
      <c r="C66" s="157" t="s">
        <v>11</v>
      </c>
      <c r="D66" s="224"/>
      <c r="E66" s="167" t="s">
        <v>88</v>
      </c>
      <c r="F66" s="33" t="s">
        <v>147</v>
      </c>
      <c r="G66" s="33" t="s">
        <v>148</v>
      </c>
      <c r="H66" s="182">
        <f>Defaults!B6</f>
        <v>0.5</v>
      </c>
      <c r="I66" s="33" t="s">
        <v>149</v>
      </c>
      <c r="J66"/>
      <c r="K66"/>
      <c r="L66"/>
    </row>
    <row r="67" spans="1:12" s="17" customFormat="1" ht="15.75">
      <c r="A67" s="150" t="s">
        <v>10</v>
      </c>
      <c r="B67" s="36"/>
      <c r="C67" s="157" t="s">
        <v>11</v>
      </c>
      <c r="D67" s="224"/>
      <c r="E67" s="167" t="s">
        <v>88</v>
      </c>
      <c r="F67" s="33" t="s">
        <v>150</v>
      </c>
      <c r="G67" s="33" t="s">
        <v>151</v>
      </c>
      <c r="H67" s="182">
        <f>Defaults!B7</f>
        <v>0.5</v>
      </c>
      <c r="I67" s="33" t="s">
        <v>149</v>
      </c>
      <c r="J67"/>
      <c r="K67"/>
      <c r="L67"/>
    </row>
    <row r="68" spans="1:12" s="17" customFormat="1" ht="30">
      <c r="A68" s="150" t="s">
        <v>10</v>
      </c>
      <c r="B68" s="36"/>
      <c r="C68" s="157" t="s">
        <v>11</v>
      </c>
      <c r="D68" s="224"/>
      <c r="E68" s="167" t="s">
        <v>88</v>
      </c>
      <c r="F68" s="33" t="s">
        <v>152</v>
      </c>
      <c r="G68" s="33" t="s">
        <v>153</v>
      </c>
      <c r="H68" s="182">
        <f>Defaults!B9</f>
        <v>0.2</v>
      </c>
      <c r="I68" s="33" t="s">
        <v>154</v>
      </c>
      <c r="J68"/>
      <c r="K68"/>
      <c r="L68"/>
    </row>
    <row r="69" spans="1:12" s="17" customFormat="1" ht="30">
      <c r="A69" s="148" t="s">
        <v>10</v>
      </c>
      <c r="B69" s="24"/>
      <c r="C69" s="148" t="s">
        <v>11</v>
      </c>
      <c r="D69" s="222"/>
      <c r="E69" s="165" t="s">
        <v>88</v>
      </c>
      <c r="F69" s="24" t="s">
        <v>119</v>
      </c>
      <c r="G69" s="27" t="s">
        <v>120</v>
      </c>
      <c r="H69" s="180">
        <f>Defaults!B3</f>
        <v>0.89</v>
      </c>
      <c r="I69" s="27"/>
      <c r="J69"/>
      <c r="K69"/>
      <c r="L69"/>
    </row>
    <row r="70" spans="1:12" s="17" customFormat="1">
      <c r="A70" s="148" t="s">
        <v>10</v>
      </c>
      <c r="B70" s="24"/>
      <c r="C70" s="148" t="s">
        <v>11</v>
      </c>
      <c r="D70" s="222"/>
      <c r="E70" s="165" t="s">
        <v>88</v>
      </c>
      <c r="F70" s="24" t="s">
        <v>121</v>
      </c>
      <c r="G70" s="27" t="s">
        <v>122</v>
      </c>
      <c r="H70" s="180">
        <f>Defaults!B4</f>
        <v>25</v>
      </c>
      <c r="I70" s="27"/>
      <c r="J70"/>
      <c r="K70"/>
      <c r="L70"/>
    </row>
    <row r="71" spans="1:12">
      <c r="A71" s="145"/>
      <c r="B71" s="2"/>
      <c r="C71" s="145"/>
      <c r="D71" s="208"/>
      <c r="E71" s="142"/>
      <c r="F71" s="2"/>
      <c r="G71" s="7"/>
      <c r="H71" s="143"/>
      <c r="I71" s="7"/>
    </row>
    <row r="72" spans="1:12" s="30" customFormat="1" ht="29.25" customHeight="1">
      <c r="A72" s="215" t="s">
        <v>155</v>
      </c>
      <c r="B72" s="215"/>
      <c r="C72" s="215"/>
      <c r="D72" s="225"/>
      <c r="E72" s="215"/>
      <c r="F72" s="215"/>
      <c r="G72" s="215"/>
      <c r="H72" s="215"/>
      <c r="I72" s="29"/>
      <c r="J72"/>
      <c r="K72"/>
      <c r="L72"/>
    </row>
    <row r="73" spans="1:12" s="17" customFormat="1" ht="24.75" customHeight="1">
      <c r="A73" s="148" t="s">
        <v>10</v>
      </c>
      <c r="B73" s="24"/>
      <c r="C73" s="148" t="s">
        <v>11</v>
      </c>
      <c r="D73" s="222"/>
      <c r="E73" s="165" t="s">
        <v>95</v>
      </c>
      <c r="F73" s="25" t="s">
        <v>124</v>
      </c>
      <c r="G73" s="27" t="s">
        <v>125</v>
      </c>
      <c r="H73" s="180">
        <f>(H74*H75*H76)</f>
        <v>28.125</v>
      </c>
      <c r="I73" s="129"/>
      <c r="J73"/>
      <c r="K73"/>
      <c r="L73"/>
    </row>
    <row r="74" spans="1:12" s="17" customFormat="1" ht="45">
      <c r="A74" s="150" t="s">
        <v>10</v>
      </c>
      <c r="B74" s="36"/>
      <c r="C74" s="157" t="s">
        <v>11</v>
      </c>
      <c r="D74" s="224"/>
      <c r="E74" s="167" t="s">
        <v>95</v>
      </c>
      <c r="F74" s="34" t="s">
        <v>133</v>
      </c>
      <c r="G74" s="33" t="s">
        <v>134</v>
      </c>
      <c r="H74" s="182">
        <f>H60</f>
        <v>112.5</v>
      </c>
      <c r="I74" s="33" t="s">
        <v>156</v>
      </c>
      <c r="J74"/>
      <c r="K74"/>
      <c r="L74"/>
    </row>
    <row r="75" spans="1:12" s="55" customFormat="1" ht="30">
      <c r="A75" s="148" t="s">
        <v>10</v>
      </c>
      <c r="B75" s="24"/>
      <c r="C75" s="148" t="s">
        <v>11</v>
      </c>
      <c r="D75" s="222"/>
      <c r="E75" s="165" t="s">
        <v>88</v>
      </c>
      <c r="F75" s="24" t="s">
        <v>157</v>
      </c>
      <c r="G75" s="27" t="s">
        <v>158</v>
      </c>
      <c r="H75" s="180">
        <f>Defaults!B10</f>
        <v>0.01</v>
      </c>
      <c r="I75" s="27" t="s">
        <v>159</v>
      </c>
      <c r="J75"/>
      <c r="K75"/>
      <c r="L75"/>
    </row>
    <row r="76" spans="1:12" s="17" customFormat="1">
      <c r="A76" s="148" t="s">
        <v>10</v>
      </c>
      <c r="B76" s="24"/>
      <c r="C76" s="148" t="s">
        <v>11</v>
      </c>
      <c r="D76" s="222"/>
      <c r="E76" s="165" t="s">
        <v>88</v>
      </c>
      <c r="F76" s="24" t="s">
        <v>121</v>
      </c>
      <c r="G76" s="27" t="s">
        <v>122</v>
      </c>
      <c r="H76" s="180">
        <f>Defaults!B4</f>
        <v>25</v>
      </c>
      <c r="I76" s="27"/>
      <c r="J76"/>
      <c r="K76"/>
      <c r="L76"/>
    </row>
    <row r="77" spans="1:12">
      <c r="A77" s="145"/>
      <c r="B77" s="2"/>
      <c r="C77" s="145"/>
      <c r="D77" s="208"/>
      <c r="E77" s="142"/>
      <c r="F77" s="2"/>
      <c r="G77" s="7"/>
      <c r="H77" s="143"/>
      <c r="I77" s="7"/>
    </row>
    <row r="78" spans="1:12" ht="29.25" customHeight="1">
      <c r="A78" s="241" t="s">
        <v>126</v>
      </c>
      <c r="B78" s="241"/>
      <c r="C78" s="241"/>
      <c r="D78" s="241"/>
      <c r="E78" s="241"/>
      <c r="F78" s="241"/>
      <c r="G78" s="241"/>
      <c r="H78" s="241"/>
      <c r="I78" s="7"/>
    </row>
    <row r="79" spans="1:12" s="54" customFormat="1">
      <c r="A79" s="149" t="s">
        <v>10</v>
      </c>
      <c r="B79" s="50"/>
      <c r="C79" s="149" t="s">
        <v>11</v>
      </c>
      <c r="D79" s="223"/>
      <c r="E79" s="172" t="s">
        <v>127</v>
      </c>
      <c r="F79" s="51" t="s">
        <v>128</v>
      </c>
      <c r="G79" s="52" t="s">
        <v>129</v>
      </c>
      <c r="H79" s="181" t="s">
        <v>11</v>
      </c>
      <c r="I79" s="53" t="s">
        <v>130</v>
      </c>
      <c r="J79"/>
      <c r="K79"/>
      <c r="L79"/>
    </row>
    <row r="80" spans="1:12" s="54" customFormat="1">
      <c r="A80" s="149"/>
      <c r="B80" s="50"/>
      <c r="C80" s="149"/>
      <c r="D80" s="223"/>
      <c r="E80" s="172"/>
      <c r="F80" s="51"/>
      <c r="G80" s="52"/>
      <c r="H80" s="181"/>
      <c r="I80" s="53"/>
      <c r="J80"/>
      <c r="K80"/>
      <c r="L80"/>
    </row>
    <row r="81" spans="1:12" s="54" customFormat="1" ht="30">
      <c r="A81" s="149" t="s">
        <v>10</v>
      </c>
      <c r="B81" s="50"/>
      <c r="C81" s="149" t="s">
        <v>11</v>
      </c>
      <c r="D81" s="223"/>
      <c r="E81" s="166" t="s">
        <v>127</v>
      </c>
      <c r="F81" s="51" t="s">
        <v>128</v>
      </c>
      <c r="G81" s="52" t="s">
        <v>131</v>
      </c>
      <c r="H81" s="181" t="s">
        <v>11</v>
      </c>
      <c r="I81" s="53" t="s">
        <v>160</v>
      </c>
      <c r="J81"/>
      <c r="K81"/>
      <c r="L81"/>
    </row>
    <row r="82" spans="1:12" s="17" customFormat="1" ht="45">
      <c r="A82" s="150" t="s">
        <v>10</v>
      </c>
      <c r="B82" s="36"/>
      <c r="C82" s="157" t="s">
        <v>11</v>
      </c>
      <c r="D82" s="224"/>
      <c r="E82" s="167" t="s">
        <v>95</v>
      </c>
      <c r="F82" s="34" t="s">
        <v>133</v>
      </c>
      <c r="G82" s="33" t="s">
        <v>161</v>
      </c>
      <c r="H82" s="182">
        <f>H83*(H84/H85)</f>
        <v>112.5</v>
      </c>
      <c r="I82" s="33" t="s">
        <v>156</v>
      </c>
      <c r="J82"/>
      <c r="K82"/>
      <c r="L82"/>
    </row>
    <row r="83" spans="1:12" s="11" customFormat="1" ht="30">
      <c r="A83" s="145" t="s">
        <v>10</v>
      </c>
      <c r="B83" s="2"/>
      <c r="C83" s="145" t="s">
        <v>11</v>
      </c>
      <c r="D83" s="208"/>
      <c r="E83" s="142" t="s">
        <v>99</v>
      </c>
      <c r="F83" s="2" t="s">
        <v>136</v>
      </c>
      <c r="G83" s="7" t="s">
        <v>162</v>
      </c>
      <c r="H83" s="143">
        <v>90</v>
      </c>
      <c r="I83" s="122" t="s">
        <v>138</v>
      </c>
      <c r="J83"/>
      <c r="K83"/>
      <c r="L83"/>
    </row>
    <row r="84" spans="1:12" s="11" customFormat="1" ht="45">
      <c r="A84" s="145" t="s">
        <v>10</v>
      </c>
      <c r="B84" s="2"/>
      <c r="C84" s="145" t="s">
        <v>11</v>
      </c>
      <c r="D84" s="208"/>
      <c r="E84" s="142" t="s">
        <v>99</v>
      </c>
      <c r="F84" s="2" t="s">
        <v>139</v>
      </c>
      <c r="G84" s="7" t="s">
        <v>140</v>
      </c>
      <c r="H84" s="143">
        <v>0.05</v>
      </c>
      <c r="I84" s="122" t="s">
        <v>141</v>
      </c>
      <c r="J84"/>
      <c r="K84"/>
      <c r="L84"/>
    </row>
    <row r="85" spans="1:12" s="11" customFormat="1" ht="45">
      <c r="A85" s="145" t="s">
        <v>10</v>
      </c>
      <c r="B85" s="2"/>
      <c r="C85" s="145" t="s">
        <v>11</v>
      </c>
      <c r="D85" s="208"/>
      <c r="E85" s="142" t="s">
        <v>99</v>
      </c>
      <c r="F85" s="2" t="s">
        <v>142</v>
      </c>
      <c r="G85" s="7" t="s">
        <v>143</v>
      </c>
      <c r="H85" s="143">
        <v>0.04</v>
      </c>
      <c r="I85" s="122" t="s">
        <v>141</v>
      </c>
      <c r="J85"/>
      <c r="K85"/>
      <c r="L85"/>
    </row>
    <row r="86" spans="1:12" s="11" customFormat="1">
      <c r="A86" s="145"/>
      <c r="B86" s="2"/>
      <c r="C86" s="145"/>
      <c r="D86" s="208"/>
      <c r="E86" s="142"/>
      <c r="F86" s="2"/>
      <c r="G86" s="7"/>
      <c r="H86" s="143"/>
      <c r="I86" s="122"/>
      <c r="J86"/>
      <c r="K86"/>
      <c r="L86"/>
    </row>
    <row r="87" spans="1:12" s="17" customFormat="1" ht="30">
      <c r="A87" s="150" t="s">
        <v>10</v>
      </c>
      <c r="B87" s="36"/>
      <c r="C87" s="157" t="s">
        <v>11</v>
      </c>
      <c r="D87" s="224"/>
      <c r="E87" s="167" t="s">
        <v>88</v>
      </c>
      <c r="F87" s="33" t="s">
        <v>144</v>
      </c>
      <c r="G87" s="33" t="s">
        <v>145</v>
      </c>
      <c r="H87" s="182">
        <f>Defaults!B28</f>
        <v>0</v>
      </c>
      <c r="I87" s="33" t="s">
        <v>146</v>
      </c>
      <c r="J87"/>
      <c r="K87"/>
      <c r="L87"/>
    </row>
    <row r="88" spans="1:12" s="17" customFormat="1" ht="15.75">
      <c r="A88" s="150" t="s">
        <v>10</v>
      </c>
      <c r="B88" s="36"/>
      <c r="C88" s="157" t="s">
        <v>11</v>
      </c>
      <c r="D88" s="224"/>
      <c r="E88" s="167" t="s">
        <v>88</v>
      </c>
      <c r="F88" s="33" t="s">
        <v>147</v>
      </c>
      <c r="G88" s="33" t="s">
        <v>148</v>
      </c>
      <c r="H88" s="182">
        <f>Defaults!B29</f>
        <v>0</v>
      </c>
      <c r="I88" s="33" t="s">
        <v>149</v>
      </c>
      <c r="J88"/>
      <c r="K88"/>
      <c r="L88"/>
    </row>
    <row r="89" spans="1:12" s="17" customFormat="1" ht="15.75">
      <c r="A89" s="150" t="s">
        <v>10</v>
      </c>
      <c r="B89" s="36"/>
      <c r="C89" s="157" t="s">
        <v>11</v>
      </c>
      <c r="D89" s="224"/>
      <c r="E89" s="167" t="s">
        <v>88</v>
      </c>
      <c r="F89" s="33" t="s">
        <v>150</v>
      </c>
      <c r="G89" s="33" t="s">
        <v>151</v>
      </c>
      <c r="H89" s="182">
        <f>Defaults!B30</f>
        <v>0</v>
      </c>
      <c r="I89" s="33" t="s">
        <v>149</v>
      </c>
      <c r="J89"/>
      <c r="K89"/>
      <c r="L89"/>
    </row>
    <row r="90" spans="1:12" s="17" customFormat="1" ht="30">
      <c r="A90" s="150" t="s">
        <v>10</v>
      </c>
      <c r="B90" s="36"/>
      <c r="C90" s="157" t="s">
        <v>11</v>
      </c>
      <c r="D90" s="224"/>
      <c r="E90" s="167" t="s">
        <v>88</v>
      </c>
      <c r="F90" s="33" t="s">
        <v>152</v>
      </c>
      <c r="G90" s="33" t="s">
        <v>163</v>
      </c>
      <c r="H90" s="182">
        <f>Defaults!B32</f>
        <v>0</v>
      </c>
      <c r="I90" s="33" t="s">
        <v>154</v>
      </c>
      <c r="J90"/>
      <c r="K90"/>
      <c r="L90"/>
    </row>
    <row r="91" spans="1:12" s="17" customFormat="1" ht="30">
      <c r="A91" s="148" t="s">
        <v>10</v>
      </c>
      <c r="B91" s="24"/>
      <c r="C91" s="148" t="s">
        <v>11</v>
      </c>
      <c r="D91" s="222"/>
      <c r="E91" s="165" t="s">
        <v>88</v>
      </c>
      <c r="F91" s="24" t="s">
        <v>119</v>
      </c>
      <c r="G91" s="27" t="s">
        <v>120</v>
      </c>
      <c r="H91" s="180">
        <f>Defaults!B26</f>
        <v>0</v>
      </c>
      <c r="I91" s="27"/>
      <c r="J91"/>
      <c r="K91"/>
      <c r="L91"/>
    </row>
    <row r="92" spans="1:12" s="17" customFormat="1">
      <c r="A92" s="148" t="s">
        <v>10</v>
      </c>
      <c r="B92" s="24"/>
      <c r="C92" s="148" t="s">
        <v>11</v>
      </c>
      <c r="D92" s="222"/>
      <c r="E92" s="165" t="s">
        <v>88</v>
      </c>
      <c r="F92" s="24" t="s">
        <v>121</v>
      </c>
      <c r="G92" s="27" t="s">
        <v>122</v>
      </c>
      <c r="H92" s="180">
        <f>Defaults!B27</f>
        <v>0</v>
      </c>
      <c r="I92" s="27"/>
      <c r="J92"/>
      <c r="K92"/>
      <c r="L92"/>
    </row>
    <row r="93" spans="1:12">
      <c r="A93" s="145"/>
      <c r="B93" s="2"/>
      <c r="C93" s="145"/>
      <c r="D93" s="208"/>
      <c r="E93" s="142"/>
      <c r="F93" s="2"/>
      <c r="G93" s="7"/>
      <c r="H93" s="143"/>
      <c r="I93" s="7"/>
    </row>
    <row r="94" spans="1:12" s="30" customFormat="1" ht="29.25" customHeight="1">
      <c r="A94" s="215" t="s">
        <v>155</v>
      </c>
      <c r="B94" s="215"/>
      <c r="C94" s="215"/>
      <c r="D94" s="225"/>
      <c r="E94" s="215"/>
      <c r="F94" s="215"/>
      <c r="G94" s="215"/>
      <c r="H94" s="215"/>
      <c r="I94" s="29"/>
      <c r="J94"/>
      <c r="K94"/>
      <c r="L94"/>
    </row>
    <row r="95" spans="1:12" s="17" customFormat="1" ht="24.75" customHeight="1">
      <c r="A95" s="148" t="s">
        <v>10</v>
      </c>
      <c r="B95" s="24"/>
      <c r="C95" s="148" t="s">
        <v>11</v>
      </c>
      <c r="D95" s="222"/>
      <c r="E95" s="165" t="s">
        <v>95</v>
      </c>
      <c r="F95" s="25" t="s">
        <v>124</v>
      </c>
      <c r="G95" s="27" t="s">
        <v>125</v>
      </c>
      <c r="H95" s="180">
        <f>(H96*H97*H98)</f>
        <v>0</v>
      </c>
      <c r="I95" s="129"/>
      <c r="J95"/>
      <c r="K95"/>
      <c r="L95"/>
    </row>
    <row r="96" spans="1:12" s="17" customFormat="1" ht="45">
      <c r="A96" s="150" t="s">
        <v>10</v>
      </c>
      <c r="B96" s="36"/>
      <c r="C96" s="157" t="s">
        <v>11</v>
      </c>
      <c r="D96" s="224"/>
      <c r="E96" s="167" t="s">
        <v>95</v>
      </c>
      <c r="F96" s="34" t="s">
        <v>133</v>
      </c>
      <c r="G96" s="33" t="s">
        <v>161</v>
      </c>
      <c r="H96" s="182">
        <f>H82</f>
        <v>112.5</v>
      </c>
      <c r="I96" s="33" t="s">
        <v>156</v>
      </c>
      <c r="J96"/>
      <c r="K96"/>
      <c r="L96"/>
    </row>
    <row r="97" spans="1:12" s="55" customFormat="1" ht="30">
      <c r="A97" s="148" t="s">
        <v>10</v>
      </c>
      <c r="B97" s="24"/>
      <c r="C97" s="148" t="s">
        <v>11</v>
      </c>
      <c r="D97" s="222"/>
      <c r="E97" s="165" t="s">
        <v>88</v>
      </c>
      <c r="F97" s="24" t="s">
        <v>157</v>
      </c>
      <c r="G97" s="27" t="s">
        <v>158</v>
      </c>
      <c r="H97" s="180">
        <f>Defaults!B33</f>
        <v>0</v>
      </c>
      <c r="I97" s="27" t="s">
        <v>159</v>
      </c>
      <c r="J97"/>
      <c r="K97"/>
      <c r="L97"/>
    </row>
    <row r="98" spans="1:12" s="17" customFormat="1">
      <c r="A98" s="148" t="s">
        <v>10</v>
      </c>
      <c r="B98" s="24"/>
      <c r="C98" s="148" t="s">
        <v>11</v>
      </c>
      <c r="D98" s="222"/>
      <c r="E98" s="165" t="s">
        <v>88</v>
      </c>
      <c r="F98" s="24" t="s">
        <v>121</v>
      </c>
      <c r="G98" s="27" t="s">
        <v>122</v>
      </c>
      <c r="H98" s="180">
        <f>Defaults!B27</f>
        <v>0</v>
      </c>
      <c r="I98" s="27"/>
      <c r="J98"/>
      <c r="K98"/>
      <c r="L98"/>
    </row>
    <row r="99" spans="1:12">
      <c r="A99" s="145"/>
      <c r="B99" s="2"/>
      <c r="C99" s="145"/>
      <c r="D99" s="208"/>
      <c r="E99" s="142"/>
      <c r="F99" s="2"/>
      <c r="G99" s="7"/>
      <c r="H99" s="143"/>
      <c r="I99" s="7"/>
    </row>
    <row r="100" spans="1:12" ht="29.25" customHeight="1">
      <c r="A100" s="241" t="s">
        <v>126</v>
      </c>
      <c r="B100" s="241"/>
      <c r="C100" s="241"/>
      <c r="D100" s="241"/>
      <c r="E100" s="241"/>
      <c r="F100" s="241"/>
      <c r="G100" s="241"/>
      <c r="H100" s="241"/>
      <c r="I100" s="7"/>
    </row>
    <row r="101" spans="1:12" ht="29.25" customHeight="1">
      <c r="A101" s="28"/>
      <c r="B101" s="28"/>
      <c r="C101" s="28"/>
      <c r="D101" s="226"/>
      <c r="E101" s="168"/>
      <c r="F101" s="28"/>
      <c r="G101" s="28"/>
      <c r="H101" s="177"/>
      <c r="I101" s="7"/>
    </row>
    <row r="102" spans="1:12" s="17" customFormat="1" ht="30">
      <c r="A102" s="151" t="s">
        <v>10</v>
      </c>
      <c r="B102" s="31"/>
      <c r="C102" s="151" t="s">
        <v>11</v>
      </c>
      <c r="D102" s="227"/>
      <c r="E102" s="169" t="s">
        <v>95</v>
      </c>
      <c r="F102" s="25" t="s">
        <v>164</v>
      </c>
      <c r="G102" s="32" t="s">
        <v>165</v>
      </c>
      <c r="H102" s="183">
        <f>H103*H104*H105*H106*H107*H108</f>
        <v>4450</v>
      </c>
      <c r="I102" s="140"/>
      <c r="J102"/>
      <c r="K102"/>
      <c r="L102"/>
    </row>
    <row r="103" spans="1:12" ht="30">
      <c r="A103" s="145" t="s">
        <v>10</v>
      </c>
      <c r="B103" s="2"/>
      <c r="C103" s="145" t="s">
        <v>11</v>
      </c>
      <c r="D103" s="208"/>
      <c r="E103" s="142" t="s">
        <v>99</v>
      </c>
      <c r="F103" s="2" t="s">
        <v>105</v>
      </c>
      <c r="G103" s="7" t="s">
        <v>113</v>
      </c>
      <c r="H103" s="143">
        <v>40000</v>
      </c>
      <c r="I103" s="7"/>
    </row>
    <row r="104" spans="1:12" s="17" customFormat="1" ht="30">
      <c r="A104" s="148" t="s">
        <v>10</v>
      </c>
      <c r="B104" s="24"/>
      <c r="C104" s="148"/>
      <c r="D104" s="222"/>
      <c r="E104" s="165" t="s">
        <v>88</v>
      </c>
      <c r="F104" s="24" t="s">
        <v>117</v>
      </c>
      <c r="G104" s="27" t="s">
        <v>118</v>
      </c>
      <c r="H104" s="180">
        <f>Defaults!B2</f>
        <v>0.25</v>
      </c>
      <c r="I104" s="27"/>
      <c r="J104"/>
      <c r="K104"/>
      <c r="L104"/>
    </row>
    <row r="105" spans="1:12" s="17" customFormat="1" ht="30">
      <c r="A105" s="148" t="s">
        <v>10</v>
      </c>
      <c r="B105" s="24"/>
      <c r="C105" s="148" t="s">
        <v>11</v>
      </c>
      <c r="D105" s="222"/>
      <c r="E105" s="165" t="s">
        <v>88</v>
      </c>
      <c r="F105" s="24" t="s">
        <v>119</v>
      </c>
      <c r="G105" s="27" t="s">
        <v>120</v>
      </c>
      <c r="H105" s="180">
        <f>Defaults!B3</f>
        <v>0.89</v>
      </c>
      <c r="I105" s="27"/>
      <c r="J105"/>
      <c r="K105"/>
      <c r="L105"/>
    </row>
    <row r="106" spans="1:12" s="17" customFormat="1">
      <c r="A106" s="148" t="s">
        <v>10</v>
      </c>
      <c r="B106" s="24"/>
      <c r="C106" s="148" t="s">
        <v>11</v>
      </c>
      <c r="D106" s="222"/>
      <c r="E106" s="165" t="s">
        <v>88</v>
      </c>
      <c r="F106" s="24" t="s">
        <v>121</v>
      </c>
      <c r="G106" s="27" t="s">
        <v>122</v>
      </c>
      <c r="H106" s="180">
        <f>Defaults!B4</f>
        <v>25</v>
      </c>
      <c r="I106" s="27"/>
      <c r="J106"/>
      <c r="K106"/>
      <c r="L106"/>
    </row>
    <row r="107" spans="1:12" s="11" customFormat="1" ht="45">
      <c r="A107" s="145" t="s">
        <v>10</v>
      </c>
      <c r="B107" s="2"/>
      <c r="C107" s="145" t="s">
        <v>11</v>
      </c>
      <c r="D107" s="208"/>
      <c r="E107" s="142" t="s">
        <v>99</v>
      </c>
      <c r="F107" s="2" t="s">
        <v>166</v>
      </c>
      <c r="G107" s="7" t="s">
        <v>167</v>
      </c>
      <c r="H107" s="143">
        <v>0.1</v>
      </c>
      <c r="I107" s="7"/>
      <c r="J107"/>
      <c r="K107"/>
      <c r="L107"/>
    </row>
    <row r="108" spans="1:12" s="55" customFormat="1" ht="30">
      <c r="A108" s="148" t="s">
        <v>10</v>
      </c>
      <c r="B108" s="24"/>
      <c r="C108" s="148" t="s">
        <v>11</v>
      </c>
      <c r="D108" s="222"/>
      <c r="E108" s="165" t="s">
        <v>88</v>
      </c>
      <c r="F108" s="24" t="s">
        <v>168</v>
      </c>
      <c r="G108" s="27" t="s">
        <v>169</v>
      </c>
      <c r="H108" s="180">
        <f>Defaults!B11</f>
        <v>0.2</v>
      </c>
      <c r="I108" s="27"/>
      <c r="J108"/>
      <c r="K108"/>
      <c r="L108"/>
    </row>
    <row r="109" spans="1:12">
      <c r="A109" s="152"/>
      <c r="B109" s="4"/>
      <c r="C109" s="152"/>
      <c r="D109" s="228"/>
      <c r="E109" s="170"/>
      <c r="F109" s="4"/>
      <c r="G109" s="6"/>
      <c r="H109" s="184"/>
      <c r="I109" s="7"/>
    </row>
    <row r="110" spans="1:12" s="54" customFormat="1" ht="45">
      <c r="A110" s="153" t="s">
        <v>10</v>
      </c>
      <c r="B110" s="56"/>
      <c r="C110" s="153" t="s">
        <v>11</v>
      </c>
      <c r="D110" s="229"/>
      <c r="E110" s="171" t="s">
        <v>127</v>
      </c>
      <c r="F110" s="51" t="s">
        <v>128</v>
      </c>
      <c r="G110" s="57" t="s">
        <v>170</v>
      </c>
      <c r="H110" s="185" t="s">
        <v>11</v>
      </c>
      <c r="I110" s="53" t="s">
        <v>171</v>
      </c>
      <c r="J110"/>
      <c r="K110"/>
      <c r="L110"/>
    </row>
    <row r="111" spans="1:12" s="17" customFormat="1" ht="30">
      <c r="A111" s="151" t="s">
        <v>10</v>
      </c>
      <c r="B111" s="31"/>
      <c r="C111" s="151" t="s">
        <v>11</v>
      </c>
      <c r="D111" s="227"/>
      <c r="E111" s="169" t="s">
        <v>95</v>
      </c>
      <c r="F111" s="25" t="s">
        <v>172</v>
      </c>
      <c r="G111" s="32" t="s">
        <v>173</v>
      </c>
      <c r="H111" s="186">
        <f>H112*H113*H114*H115*H116*H117*H118*16/12</f>
        <v>333.75000000000006</v>
      </c>
      <c r="I111" s="27"/>
      <c r="J111"/>
      <c r="K111"/>
      <c r="L111"/>
    </row>
    <row r="112" spans="1:12" ht="30">
      <c r="A112" s="145" t="s">
        <v>10</v>
      </c>
      <c r="B112" s="2"/>
      <c r="C112" s="145" t="s">
        <v>11</v>
      </c>
      <c r="D112" s="208"/>
      <c r="E112" s="142" t="s">
        <v>99</v>
      </c>
      <c r="F112" s="3" t="s">
        <v>174</v>
      </c>
      <c r="G112" s="7" t="s">
        <v>175</v>
      </c>
      <c r="H112" s="143">
        <f>H60</f>
        <v>112.5</v>
      </c>
      <c r="I112" s="7"/>
    </row>
    <row r="113" spans="1:12" s="55" customFormat="1" ht="30">
      <c r="A113" s="148" t="s">
        <v>10</v>
      </c>
      <c r="B113" s="24"/>
      <c r="C113" s="148" t="s">
        <v>11</v>
      </c>
      <c r="D113" s="222"/>
      <c r="E113" s="165" t="s">
        <v>88</v>
      </c>
      <c r="F113" s="24" t="s">
        <v>176</v>
      </c>
      <c r="G113" s="27" t="s">
        <v>177</v>
      </c>
      <c r="H113" s="180">
        <f>Defaults!B3</f>
        <v>0.89</v>
      </c>
      <c r="I113" s="125" t="s">
        <v>141</v>
      </c>
      <c r="J113"/>
      <c r="K113"/>
      <c r="L113"/>
    </row>
    <row r="114" spans="1:12" s="55" customFormat="1" ht="30">
      <c r="A114" s="148" t="s">
        <v>10</v>
      </c>
      <c r="B114" s="24"/>
      <c r="C114" s="148" t="s">
        <v>11</v>
      </c>
      <c r="D114" s="222"/>
      <c r="E114" s="165" t="s">
        <v>88</v>
      </c>
      <c r="F114" s="24" t="s">
        <v>178</v>
      </c>
      <c r="G114" s="27" t="s">
        <v>179</v>
      </c>
      <c r="H114" s="180">
        <f>'Tool 04-SWDS-Yearly'!$C$82</f>
        <v>0.8</v>
      </c>
      <c r="I114" s="27" t="s">
        <v>180</v>
      </c>
      <c r="J114"/>
      <c r="K114"/>
      <c r="L114"/>
    </row>
    <row r="115" spans="1:12" s="17" customFormat="1" ht="30">
      <c r="A115" s="150" t="s">
        <v>10</v>
      </c>
      <c r="B115" s="36"/>
      <c r="C115" s="157" t="s">
        <v>11</v>
      </c>
      <c r="D115" s="224"/>
      <c r="E115" s="167" t="s">
        <v>88</v>
      </c>
      <c r="F115" s="33" t="s">
        <v>144</v>
      </c>
      <c r="G115" s="33" t="s">
        <v>181</v>
      </c>
      <c r="H115" s="182">
        <f>Defaults!B5</f>
        <v>0.5</v>
      </c>
      <c r="I115" s="33" t="s">
        <v>146</v>
      </c>
      <c r="J115"/>
      <c r="K115"/>
      <c r="L115"/>
    </row>
    <row r="116" spans="1:12" s="17" customFormat="1" ht="15.75">
      <c r="A116" s="150" t="s">
        <v>10</v>
      </c>
      <c r="B116" s="36"/>
      <c r="C116" s="157" t="s">
        <v>11</v>
      </c>
      <c r="D116" s="224"/>
      <c r="E116" s="167" t="s">
        <v>88</v>
      </c>
      <c r="F116" s="33" t="s">
        <v>147</v>
      </c>
      <c r="G116" s="33" t="s">
        <v>182</v>
      </c>
      <c r="H116" s="182">
        <f>Defaults!B6</f>
        <v>0.5</v>
      </c>
      <c r="I116" s="33" t="s">
        <v>149</v>
      </c>
      <c r="J116"/>
      <c r="K116"/>
      <c r="L116"/>
    </row>
    <row r="117" spans="1:12" s="17" customFormat="1" ht="15.75">
      <c r="A117" s="150" t="s">
        <v>10</v>
      </c>
      <c r="B117" s="36"/>
      <c r="C117" s="157" t="s">
        <v>11</v>
      </c>
      <c r="D117" s="224"/>
      <c r="E117" s="167" t="s">
        <v>88</v>
      </c>
      <c r="F117" s="33" t="s">
        <v>150</v>
      </c>
      <c r="G117" s="33" t="s">
        <v>183</v>
      </c>
      <c r="H117" s="182">
        <f>Defaults!B7</f>
        <v>0.5</v>
      </c>
      <c r="I117" s="33" t="s">
        <v>149</v>
      </c>
      <c r="J117"/>
      <c r="K117"/>
      <c r="L117"/>
    </row>
    <row r="118" spans="1:12" s="17" customFormat="1">
      <c r="A118" s="148" t="s">
        <v>10</v>
      </c>
      <c r="B118" s="24"/>
      <c r="C118" s="148" t="s">
        <v>11</v>
      </c>
      <c r="D118" s="222"/>
      <c r="E118" s="165" t="s">
        <v>88</v>
      </c>
      <c r="F118" s="24" t="s">
        <v>121</v>
      </c>
      <c r="G118" s="27" t="s">
        <v>122</v>
      </c>
      <c r="H118" s="180">
        <f>Defaults!B4</f>
        <v>25</v>
      </c>
      <c r="I118" s="27"/>
      <c r="J118"/>
      <c r="K118"/>
      <c r="L118"/>
    </row>
    <row r="120" spans="1:12" s="30" customFormat="1" ht="30">
      <c r="A120" s="154" t="s">
        <v>184</v>
      </c>
      <c r="B120" s="58"/>
      <c r="C120" s="158"/>
      <c r="D120" s="230"/>
      <c r="E120" s="176" t="s">
        <v>141</v>
      </c>
      <c r="F120" s="126" t="s">
        <v>141</v>
      </c>
      <c r="G120" s="59"/>
      <c r="H120" s="187"/>
      <c r="J120"/>
      <c r="K120"/>
      <c r="L120"/>
    </row>
    <row r="121" spans="1:12" s="35" customFormat="1">
      <c r="A121" s="148" t="s">
        <v>10</v>
      </c>
      <c r="B121" s="24"/>
      <c r="C121" s="147" t="s">
        <v>11</v>
      </c>
      <c r="D121" s="221"/>
      <c r="E121" s="164" t="s">
        <v>95</v>
      </c>
      <c r="F121" s="25" t="s">
        <v>185</v>
      </c>
      <c r="G121" s="26" t="s">
        <v>186</v>
      </c>
      <c r="H121" s="188">
        <f>H123 + H124 + H141 + H161 + H169 + H178 + H180 + H181</f>
        <v>66903.891716162441</v>
      </c>
      <c r="I121" s="26" t="s">
        <v>187</v>
      </c>
      <c r="J121"/>
    </row>
    <row r="122" spans="1:12" s="10" customFormat="1">
      <c r="A122" s="145"/>
      <c r="B122" s="2"/>
      <c r="C122" s="141"/>
      <c r="D122" s="216"/>
      <c r="E122" s="163"/>
      <c r="F122" s="3"/>
      <c r="G122" s="8"/>
      <c r="H122" s="177"/>
      <c r="I122" s="8"/>
      <c r="J122"/>
    </row>
    <row r="123" spans="1:12" s="35" customFormat="1" ht="30">
      <c r="A123" s="148" t="s">
        <v>10</v>
      </c>
      <c r="B123" s="24"/>
      <c r="C123" s="147" t="s">
        <v>11</v>
      </c>
      <c r="D123" s="221"/>
      <c r="E123" s="164" t="s">
        <v>95</v>
      </c>
      <c r="F123" s="25" t="s">
        <v>188</v>
      </c>
      <c r="G123" s="26" t="s">
        <v>189</v>
      </c>
      <c r="H123" s="188">
        <f>'Tool 03'!$G$3</f>
        <v>73.333333333333329</v>
      </c>
      <c r="I123" s="26" t="s">
        <v>190</v>
      </c>
      <c r="J123"/>
    </row>
    <row r="124" spans="1:12" s="35" customFormat="1" ht="45">
      <c r="A124" s="148" t="s">
        <v>10</v>
      </c>
      <c r="B124" s="24"/>
      <c r="C124" s="147" t="s">
        <v>11</v>
      </c>
      <c r="D124" s="221"/>
      <c r="E124" s="164" t="s">
        <v>95</v>
      </c>
      <c r="F124" s="25" t="s">
        <v>191</v>
      </c>
      <c r="G124" s="26" t="s">
        <v>192</v>
      </c>
      <c r="H124" s="188">
        <f>SUM(H126*H127*H128*H129*H130*H130, H133*H134*H135*H136*H137*H138) * 1.12</f>
        <v>1579.1306245120008</v>
      </c>
      <c r="I124" s="26" t="s">
        <v>193</v>
      </c>
      <c r="J124"/>
    </row>
    <row r="125" spans="1:12" ht="29.25" customHeight="1">
      <c r="A125" s="241" t="s">
        <v>194</v>
      </c>
      <c r="B125" s="241"/>
      <c r="C125" s="241"/>
      <c r="D125" s="241"/>
      <c r="E125" s="241"/>
      <c r="F125" s="241"/>
      <c r="G125" s="241"/>
      <c r="H125" s="241"/>
      <c r="I125" s="7"/>
    </row>
    <row r="126" spans="1:12" s="17" customFormat="1" ht="45">
      <c r="A126" s="148" t="s">
        <v>10</v>
      </c>
      <c r="B126" s="24"/>
      <c r="C126" s="148" t="s">
        <v>11</v>
      </c>
      <c r="D126" s="222"/>
      <c r="E126" s="165" t="s">
        <v>88</v>
      </c>
      <c r="F126" s="24" t="s">
        <v>195</v>
      </c>
      <c r="G126" s="27" t="s">
        <v>196</v>
      </c>
      <c r="H126" s="180">
        <f>Defaults!B15</f>
        <v>0.1</v>
      </c>
      <c r="I126" s="27" t="s">
        <v>197</v>
      </c>
      <c r="J126"/>
    </row>
    <row r="127" spans="1:12" ht="45">
      <c r="A127" s="145" t="s">
        <v>10</v>
      </c>
      <c r="B127" s="2"/>
      <c r="C127" s="145" t="s">
        <v>11</v>
      </c>
      <c r="D127" s="208"/>
      <c r="E127" s="142" t="s">
        <v>99</v>
      </c>
      <c r="F127" s="2" t="s">
        <v>198</v>
      </c>
      <c r="G127" s="7" t="s">
        <v>199</v>
      </c>
      <c r="H127" s="143">
        <v>0.4</v>
      </c>
      <c r="I127" s="7" t="s">
        <v>141</v>
      </c>
    </row>
    <row r="128" spans="1:12" ht="30">
      <c r="A128" s="145" t="s">
        <v>10</v>
      </c>
      <c r="B128" s="2"/>
      <c r="C128" s="145" t="s">
        <v>11</v>
      </c>
      <c r="D128" s="208"/>
      <c r="E128" s="142" t="s">
        <v>99</v>
      </c>
      <c r="F128" s="2" t="s">
        <v>105</v>
      </c>
      <c r="G128" s="7" t="s">
        <v>200</v>
      </c>
      <c r="H128" s="143">
        <f>H41</f>
        <v>50000</v>
      </c>
      <c r="I128" s="7"/>
    </row>
    <row r="129" spans="1:12" s="17" customFormat="1" ht="30">
      <c r="A129" s="148" t="s">
        <v>10</v>
      </c>
      <c r="B129" s="24"/>
      <c r="C129" s="148"/>
      <c r="D129" s="222"/>
      <c r="E129" s="165" t="s">
        <v>88</v>
      </c>
      <c r="F129" s="24" t="s">
        <v>117</v>
      </c>
      <c r="G129" s="27" t="s">
        <v>118</v>
      </c>
      <c r="H129" s="180">
        <f>Defaults!B3</f>
        <v>0.89</v>
      </c>
      <c r="I129" s="27"/>
      <c r="J129"/>
    </row>
    <row r="130" spans="1:12" s="17" customFormat="1" ht="30">
      <c r="A130" s="148" t="s">
        <v>10</v>
      </c>
      <c r="B130" s="24"/>
      <c r="C130" s="148" t="s">
        <v>11</v>
      </c>
      <c r="D130" s="222"/>
      <c r="E130" s="165" t="s">
        <v>88</v>
      </c>
      <c r="F130" s="24" t="s">
        <v>201</v>
      </c>
      <c r="G130" s="27" t="s">
        <v>120</v>
      </c>
      <c r="H130" s="180">
        <f>Defaults!B13</f>
        <v>0.89</v>
      </c>
      <c r="I130" s="27"/>
      <c r="J130"/>
    </row>
    <row r="131" spans="1:12" s="17" customFormat="1">
      <c r="A131" s="148" t="s">
        <v>10</v>
      </c>
      <c r="B131" s="24"/>
      <c r="C131" s="148" t="s">
        <v>11</v>
      </c>
      <c r="D131" s="222"/>
      <c r="E131" s="165" t="s">
        <v>88</v>
      </c>
      <c r="F131" s="24" t="s">
        <v>121</v>
      </c>
      <c r="G131" s="27" t="s">
        <v>122</v>
      </c>
      <c r="H131" s="180">
        <f>Defaults!B4</f>
        <v>25</v>
      </c>
      <c r="I131" s="27"/>
      <c r="J131"/>
    </row>
    <row r="132" spans="1:12" ht="29.25" customHeight="1">
      <c r="A132" s="241" t="s">
        <v>194</v>
      </c>
      <c r="B132" s="241"/>
      <c r="C132" s="241"/>
      <c r="D132" s="241"/>
      <c r="E132" s="241"/>
      <c r="F132" s="241"/>
      <c r="G132" s="241"/>
      <c r="H132" s="241"/>
      <c r="I132" s="7"/>
    </row>
    <row r="133" spans="1:12" s="17" customFormat="1" ht="45">
      <c r="A133" s="148" t="s">
        <v>10</v>
      </c>
      <c r="B133" s="24"/>
      <c r="C133" s="148" t="s">
        <v>11</v>
      </c>
      <c r="D133" s="222"/>
      <c r="E133" s="165" t="s">
        <v>88</v>
      </c>
      <c r="F133" s="24" t="s">
        <v>195</v>
      </c>
      <c r="G133" s="27" t="s">
        <v>202</v>
      </c>
      <c r="H133" s="180">
        <f>Defaults!B22</f>
        <v>0.1</v>
      </c>
      <c r="I133" s="27" t="s">
        <v>197</v>
      </c>
      <c r="J133"/>
    </row>
    <row r="134" spans="1:12" ht="45">
      <c r="A134" s="145" t="s">
        <v>10</v>
      </c>
      <c r="B134" s="2"/>
      <c r="C134" s="145" t="s">
        <v>11</v>
      </c>
      <c r="D134" s="208"/>
      <c r="E134" s="142" t="s">
        <v>99</v>
      </c>
      <c r="F134" s="2" t="s">
        <v>198</v>
      </c>
      <c r="G134" s="7" t="s">
        <v>203</v>
      </c>
      <c r="H134" s="143">
        <v>0.4</v>
      </c>
      <c r="I134" s="7" t="s">
        <v>141</v>
      </c>
    </row>
    <row r="135" spans="1:12" ht="30">
      <c r="A135" s="145" t="s">
        <v>10</v>
      </c>
      <c r="B135" s="2"/>
      <c r="C135" s="145" t="s">
        <v>11</v>
      </c>
      <c r="D135" s="208"/>
      <c r="E135" s="142" t="s">
        <v>99</v>
      </c>
      <c r="F135" s="2" t="s">
        <v>105</v>
      </c>
      <c r="G135" s="7" t="s">
        <v>204</v>
      </c>
      <c r="H135" s="143">
        <f>H48</f>
        <v>0.8</v>
      </c>
      <c r="I135" s="7"/>
    </row>
    <row r="136" spans="1:12" s="17" customFormat="1" ht="30">
      <c r="A136" s="148" t="s">
        <v>10</v>
      </c>
      <c r="B136" s="24"/>
      <c r="C136" s="148"/>
      <c r="D136" s="222"/>
      <c r="E136" s="165" t="s">
        <v>88</v>
      </c>
      <c r="F136" s="24" t="s">
        <v>117</v>
      </c>
      <c r="G136" s="27" t="s">
        <v>118</v>
      </c>
      <c r="H136" s="180">
        <f>Defaults!B10</f>
        <v>0.01</v>
      </c>
      <c r="I136" s="27"/>
      <c r="J136"/>
    </row>
    <row r="137" spans="1:12" s="17" customFormat="1" ht="30">
      <c r="A137" s="148" t="s">
        <v>10</v>
      </c>
      <c r="B137" s="24"/>
      <c r="C137" s="148" t="s">
        <v>11</v>
      </c>
      <c r="D137" s="222"/>
      <c r="E137" s="165" t="s">
        <v>88</v>
      </c>
      <c r="F137" s="24" t="s">
        <v>201</v>
      </c>
      <c r="G137" s="27" t="s">
        <v>120</v>
      </c>
      <c r="H137" s="180">
        <f>Defaults!B20</f>
        <v>0.9</v>
      </c>
      <c r="I137" s="27"/>
      <c r="J137"/>
      <c r="K137"/>
      <c r="L137"/>
    </row>
    <row r="138" spans="1:12" s="17" customFormat="1">
      <c r="A138" s="148" t="s">
        <v>10</v>
      </c>
      <c r="B138" s="24"/>
      <c r="C138" s="148" t="s">
        <v>11</v>
      </c>
      <c r="D138" s="222"/>
      <c r="E138" s="165" t="s">
        <v>88</v>
      </c>
      <c r="F138" s="24" t="s">
        <v>121</v>
      </c>
      <c r="G138" s="27" t="s">
        <v>122</v>
      </c>
      <c r="H138" s="180">
        <f>Defaults!B11</f>
        <v>0.2</v>
      </c>
      <c r="I138" s="27"/>
      <c r="J138"/>
      <c r="K138"/>
      <c r="L138"/>
    </row>
    <row r="139" spans="1:12" ht="29.25" customHeight="1">
      <c r="A139" s="241" t="s">
        <v>194</v>
      </c>
      <c r="B139" s="241"/>
      <c r="C139" s="241"/>
      <c r="D139" s="241"/>
      <c r="E139" s="241"/>
      <c r="F139" s="241"/>
      <c r="G139" s="241"/>
      <c r="H139" s="241"/>
      <c r="I139" s="7"/>
    </row>
    <row r="140" spans="1:12" ht="29.25" customHeight="1">
      <c r="A140" s="28"/>
      <c r="B140" s="28"/>
      <c r="C140" s="28"/>
      <c r="D140" s="226"/>
      <c r="E140" s="168"/>
      <c r="F140" s="28"/>
      <c r="G140" s="28"/>
      <c r="H140" s="177"/>
      <c r="I140" s="7"/>
    </row>
    <row r="141" spans="1:12" s="35" customFormat="1" ht="45">
      <c r="A141" s="148" t="s">
        <v>10</v>
      </c>
      <c r="B141" s="24"/>
      <c r="C141" s="147" t="s">
        <v>11</v>
      </c>
      <c r="D141" s="221"/>
      <c r="E141" s="164" t="s">
        <v>95</v>
      </c>
      <c r="F141" s="25" t="s">
        <v>205</v>
      </c>
      <c r="G141" s="26" t="s">
        <v>206</v>
      </c>
      <c r="H141" s="188">
        <f>SUM(H143*H144*H145*H146*H147*H148*H149*16/12, H152*H153*H154*H155*H156*H157*H158*16/12) * 1.12</f>
        <v>37.380000000000003</v>
      </c>
      <c r="I141" s="26" t="s">
        <v>207</v>
      </c>
      <c r="J141"/>
      <c r="K141"/>
      <c r="L141"/>
    </row>
    <row r="142" spans="1:12" ht="29.25" customHeight="1">
      <c r="A142" s="241" t="s">
        <v>208</v>
      </c>
      <c r="B142" s="241"/>
      <c r="C142" s="241"/>
      <c r="D142" s="241"/>
      <c r="E142" s="241"/>
      <c r="F142" s="241"/>
      <c r="G142" s="241"/>
      <c r="H142" s="241"/>
      <c r="I142" s="7"/>
    </row>
    <row r="143" spans="1:12" s="11" customFormat="1" ht="45">
      <c r="A143" s="145" t="s">
        <v>10</v>
      </c>
      <c r="B143" s="2"/>
      <c r="C143" s="145" t="s">
        <v>11</v>
      </c>
      <c r="D143" s="208"/>
      <c r="E143" s="142" t="s">
        <v>99</v>
      </c>
      <c r="F143" s="2" t="s">
        <v>209</v>
      </c>
      <c r="G143" s="7" t="s">
        <v>210</v>
      </c>
      <c r="H143" s="143">
        <v>90</v>
      </c>
      <c r="I143" s="122" t="s">
        <v>141</v>
      </c>
      <c r="J143"/>
      <c r="K143"/>
      <c r="L143"/>
    </row>
    <row r="144" spans="1:12" s="17" customFormat="1" ht="30">
      <c r="A144" s="148" t="s">
        <v>10</v>
      </c>
      <c r="B144" s="24"/>
      <c r="C144" s="148" t="s">
        <v>11</v>
      </c>
      <c r="D144" s="222"/>
      <c r="E144" s="165" t="s">
        <v>88</v>
      </c>
      <c r="F144" s="24" t="s">
        <v>211</v>
      </c>
      <c r="G144" s="27" t="s">
        <v>212</v>
      </c>
      <c r="H144" s="180">
        <f>Defaults!B15</f>
        <v>0.1</v>
      </c>
      <c r="I144" s="27" t="s">
        <v>197</v>
      </c>
      <c r="J144"/>
      <c r="K144"/>
      <c r="L144"/>
    </row>
    <row r="145" spans="1:12" s="17" customFormat="1">
      <c r="A145" s="148" t="s">
        <v>10</v>
      </c>
      <c r="B145" s="24"/>
      <c r="C145" s="148" t="s">
        <v>11</v>
      </c>
      <c r="D145" s="222"/>
      <c r="E145" s="165" t="s">
        <v>88</v>
      </c>
      <c r="F145" s="24" t="s">
        <v>201</v>
      </c>
      <c r="G145" s="27" t="s">
        <v>213</v>
      </c>
      <c r="H145" s="180">
        <f>Defaults!B13</f>
        <v>0.89</v>
      </c>
      <c r="I145" s="27"/>
      <c r="J145"/>
      <c r="K145"/>
      <c r="L145"/>
    </row>
    <row r="146" spans="1:12" s="17" customFormat="1" ht="30">
      <c r="A146" s="150" t="s">
        <v>10</v>
      </c>
      <c r="B146" s="36"/>
      <c r="C146" s="157" t="s">
        <v>11</v>
      </c>
      <c r="D146" s="224"/>
      <c r="E146" s="167" t="s">
        <v>88</v>
      </c>
      <c r="F146" s="33" t="s">
        <v>144</v>
      </c>
      <c r="G146" s="33" t="s">
        <v>181</v>
      </c>
      <c r="H146" s="182">
        <f>Defaults!B5</f>
        <v>0.5</v>
      </c>
      <c r="I146" s="33" t="s">
        <v>146</v>
      </c>
      <c r="J146"/>
      <c r="K146"/>
      <c r="L146"/>
    </row>
    <row r="147" spans="1:12" s="17" customFormat="1" ht="15.75">
      <c r="A147" s="150" t="s">
        <v>10</v>
      </c>
      <c r="B147" s="36"/>
      <c r="C147" s="157" t="s">
        <v>11</v>
      </c>
      <c r="D147" s="224"/>
      <c r="E147" s="167" t="s">
        <v>88</v>
      </c>
      <c r="F147" s="33" t="s">
        <v>147</v>
      </c>
      <c r="G147" s="33" t="s">
        <v>182</v>
      </c>
      <c r="H147" s="182">
        <f>Defaults!B6</f>
        <v>0.5</v>
      </c>
      <c r="I147" s="33" t="s">
        <v>149</v>
      </c>
      <c r="J147"/>
      <c r="K147"/>
      <c r="L147"/>
    </row>
    <row r="148" spans="1:12" s="17" customFormat="1" ht="15.75">
      <c r="A148" s="150" t="s">
        <v>10</v>
      </c>
      <c r="B148" s="36"/>
      <c r="C148" s="157" t="s">
        <v>11</v>
      </c>
      <c r="D148" s="224"/>
      <c r="E148" s="167" t="s">
        <v>88</v>
      </c>
      <c r="F148" s="33" t="s">
        <v>150</v>
      </c>
      <c r="G148" s="33" t="s">
        <v>183</v>
      </c>
      <c r="H148" s="182">
        <f>Defaults!B7</f>
        <v>0.5</v>
      </c>
      <c r="I148" s="33" t="s">
        <v>149</v>
      </c>
      <c r="J148"/>
      <c r="K148"/>
      <c r="L148"/>
    </row>
    <row r="149" spans="1:12" s="17" customFormat="1">
      <c r="A149" s="148" t="s">
        <v>10</v>
      </c>
      <c r="B149" s="24"/>
      <c r="C149" s="148" t="s">
        <v>11</v>
      </c>
      <c r="D149" s="222"/>
      <c r="E149" s="165" t="s">
        <v>88</v>
      </c>
      <c r="F149" s="24" t="s">
        <v>121</v>
      </c>
      <c r="G149" s="27" t="s">
        <v>122</v>
      </c>
      <c r="H149" s="180">
        <f>Defaults!B4</f>
        <v>25</v>
      </c>
      <c r="I149" s="27"/>
      <c r="J149"/>
      <c r="K149"/>
      <c r="L149"/>
    </row>
    <row r="151" spans="1:12" ht="29.25" customHeight="1">
      <c r="A151" s="241" t="s">
        <v>208</v>
      </c>
      <c r="B151" s="241"/>
      <c r="C151" s="241"/>
      <c r="D151" s="241"/>
      <c r="E151" s="241"/>
      <c r="F151" s="241"/>
      <c r="G151" s="241"/>
      <c r="H151" s="241"/>
      <c r="I151" s="7"/>
    </row>
    <row r="152" spans="1:12" s="11" customFormat="1" ht="45">
      <c r="A152" s="145" t="s">
        <v>10</v>
      </c>
      <c r="B152" s="2"/>
      <c r="C152" s="145" t="s">
        <v>11</v>
      </c>
      <c r="D152" s="208"/>
      <c r="E152" s="142" t="s">
        <v>99</v>
      </c>
      <c r="F152" s="2" t="s">
        <v>209</v>
      </c>
      <c r="G152" s="7" t="s">
        <v>214</v>
      </c>
      <c r="H152" s="143">
        <v>90</v>
      </c>
      <c r="I152" s="122" t="s">
        <v>141</v>
      </c>
      <c r="J152"/>
      <c r="K152"/>
      <c r="L152"/>
    </row>
    <row r="153" spans="1:12" s="17" customFormat="1" ht="30">
      <c r="A153" s="148" t="s">
        <v>10</v>
      </c>
      <c r="B153" s="24"/>
      <c r="C153" s="148" t="s">
        <v>11</v>
      </c>
      <c r="D153" s="222"/>
      <c r="E153" s="165" t="s">
        <v>88</v>
      </c>
      <c r="F153" s="24" t="s">
        <v>211</v>
      </c>
      <c r="G153" s="27" t="s">
        <v>215</v>
      </c>
      <c r="H153" s="180">
        <f>Defaults!B24</f>
        <v>0</v>
      </c>
      <c r="I153" s="27" t="s">
        <v>197</v>
      </c>
      <c r="J153"/>
    </row>
    <row r="154" spans="1:12" s="17" customFormat="1">
      <c r="A154" s="148" t="s">
        <v>10</v>
      </c>
      <c r="B154" s="24"/>
      <c r="C154" s="148" t="s">
        <v>11</v>
      </c>
      <c r="D154" s="222"/>
      <c r="E154" s="165" t="s">
        <v>88</v>
      </c>
      <c r="F154" s="24" t="s">
        <v>201</v>
      </c>
      <c r="G154" s="27" t="s">
        <v>213</v>
      </c>
      <c r="H154" s="180">
        <f>Defaults!B22</f>
        <v>0.1</v>
      </c>
      <c r="I154" s="27"/>
      <c r="J154"/>
    </row>
    <row r="155" spans="1:12" s="17" customFormat="1" ht="30">
      <c r="A155" s="150" t="s">
        <v>10</v>
      </c>
      <c r="B155" s="36"/>
      <c r="C155" s="157" t="s">
        <v>11</v>
      </c>
      <c r="D155" s="224"/>
      <c r="E155" s="167" t="s">
        <v>88</v>
      </c>
      <c r="F155" s="33" t="s">
        <v>144</v>
      </c>
      <c r="G155" s="33" t="s">
        <v>181</v>
      </c>
      <c r="H155" s="182">
        <f>Defaults!B14</f>
        <v>0.1</v>
      </c>
      <c r="I155" s="33" t="s">
        <v>146</v>
      </c>
      <c r="J155"/>
    </row>
    <row r="156" spans="1:12" s="17" customFormat="1" ht="15.75">
      <c r="A156" s="150" t="s">
        <v>10</v>
      </c>
      <c r="B156" s="36"/>
      <c r="C156" s="157" t="s">
        <v>11</v>
      </c>
      <c r="D156" s="224"/>
      <c r="E156" s="167" t="s">
        <v>88</v>
      </c>
      <c r="F156" s="33" t="s">
        <v>147</v>
      </c>
      <c r="G156" s="33" t="s">
        <v>182</v>
      </c>
      <c r="H156" s="182">
        <f>Defaults!B15</f>
        <v>0.1</v>
      </c>
      <c r="I156" s="33" t="s">
        <v>149</v>
      </c>
      <c r="J156"/>
    </row>
    <row r="157" spans="1:12" s="17" customFormat="1" ht="15.75">
      <c r="A157" s="150" t="s">
        <v>10</v>
      </c>
      <c r="B157" s="36"/>
      <c r="C157" s="157" t="s">
        <v>11</v>
      </c>
      <c r="D157" s="224"/>
      <c r="E157" s="167" t="s">
        <v>88</v>
      </c>
      <c r="F157" s="33" t="s">
        <v>150</v>
      </c>
      <c r="G157" s="33" t="s">
        <v>183</v>
      </c>
      <c r="H157" s="182">
        <f>Defaults!B16</f>
        <v>0.1</v>
      </c>
      <c r="I157" s="33" t="s">
        <v>149</v>
      </c>
      <c r="J157"/>
    </row>
    <row r="158" spans="1:12" s="17" customFormat="1">
      <c r="A158" s="148" t="s">
        <v>10</v>
      </c>
      <c r="B158" s="24"/>
      <c r="C158" s="148" t="s">
        <v>11</v>
      </c>
      <c r="D158" s="222"/>
      <c r="E158" s="165" t="s">
        <v>88</v>
      </c>
      <c r="F158" s="24" t="s">
        <v>121</v>
      </c>
      <c r="G158" s="27" t="s">
        <v>122</v>
      </c>
      <c r="H158" s="180">
        <f>Defaults!B4</f>
        <v>25</v>
      </c>
      <c r="I158" s="27"/>
      <c r="J158"/>
    </row>
    <row r="160" spans="1:12" ht="29.25" customHeight="1">
      <c r="A160" s="241" t="s">
        <v>208</v>
      </c>
      <c r="B160" s="241"/>
      <c r="C160" s="241"/>
      <c r="D160" s="241"/>
      <c r="E160" s="241"/>
      <c r="F160" s="241"/>
      <c r="G160" s="241"/>
      <c r="H160" s="241"/>
      <c r="I160" s="7"/>
    </row>
    <row r="161" spans="1:12" s="35" customFormat="1" ht="45">
      <c r="A161" s="148" t="s">
        <v>10</v>
      </c>
      <c r="B161" s="24"/>
      <c r="C161" s="147" t="s">
        <v>11</v>
      </c>
      <c r="D161" s="221"/>
      <c r="E161" s="164" t="s">
        <v>95</v>
      </c>
      <c r="F161" s="25" t="s">
        <v>216</v>
      </c>
      <c r="G161" s="26" t="s">
        <v>217</v>
      </c>
      <c r="H161" s="188">
        <f>H162*H163*H164*H165*H166*H167*1.12</f>
        <v>44357.600000000006</v>
      </c>
      <c r="I161" s="26" t="s">
        <v>218</v>
      </c>
      <c r="J161"/>
    </row>
    <row r="162" spans="1:12" ht="30">
      <c r="A162" s="145" t="s">
        <v>10</v>
      </c>
      <c r="B162" s="2"/>
      <c r="C162" s="145" t="s">
        <v>11</v>
      </c>
      <c r="D162" s="208"/>
      <c r="E162" s="142" t="s">
        <v>99</v>
      </c>
      <c r="F162" s="2" t="s">
        <v>105</v>
      </c>
      <c r="G162" s="7" t="s">
        <v>200</v>
      </c>
      <c r="H162" s="143">
        <f>H103</f>
        <v>40000</v>
      </c>
      <c r="I162" s="7"/>
    </row>
    <row r="163" spans="1:12" s="17" customFormat="1" ht="30">
      <c r="A163" s="148" t="s">
        <v>10</v>
      </c>
      <c r="B163" s="24"/>
      <c r="C163" s="148"/>
      <c r="D163" s="222"/>
      <c r="E163" s="165" t="s">
        <v>88</v>
      </c>
      <c r="F163" s="24" t="s">
        <v>117</v>
      </c>
      <c r="G163" s="27" t="s">
        <v>118</v>
      </c>
      <c r="H163" s="180">
        <f>Defaults!B3</f>
        <v>0.89</v>
      </c>
      <c r="I163" s="27"/>
      <c r="J163"/>
    </row>
    <row r="164" spans="1:12" s="17" customFormat="1" ht="30">
      <c r="A164" s="148" t="s">
        <v>10</v>
      </c>
      <c r="B164" s="24"/>
      <c r="C164" s="148" t="s">
        <v>11</v>
      </c>
      <c r="D164" s="222"/>
      <c r="E164" s="165" t="s">
        <v>88</v>
      </c>
      <c r="F164" s="24" t="s">
        <v>201</v>
      </c>
      <c r="G164" s="27" t="s">
        <v>120</v>
      </c>
      <c r="H164" s="180">
        <f>Defaults!B13</f>
        <v>0.89</v>
      </c>
      <c r="I164" s="27"/>
      <c r="J164"/>
    </row>
    <row r="165" spans="1:12" s="17" customFormat="1">
      <c r="A165" s="148" t="s">
        <v>10</v>
      </c>
      <c r="B165" s="24"/>
      <c r="C165" s="148" t="s">
        <v>11</v>
      </c>
      <c r="D165" s="222"/>
      <c r="E165" s="165" t="s">
        <v>88</v>
      </c>
      <c r="F165" s="24" t="s">
        <v>121</v>
      </c>
      <c r="G165" s="27" t="s">
        <v>122</v>
      </c>
      <c r="H165" s="180">
        <f>Defaults!B4</f>
        <v>25</v>
      </c>
      <c r="I165" s="27"/>
      <c r="J165"/>
    </row>
    <row r="166" spans="1:12" ht="60">
      <c r="A166" s="145" t="s">
        <v>10</v>
      </c>
      <c r="B166" s="2"/>
      <c r="C166" s="145" t="s">
        <v>11</v>
      </c>
      <c r="D166" s="208"/>
      <c r="E166" s="142" t="s">
        <v>99</v>
      </c>
      <c r="F166" s="2" t="s">
        <v>219</v>
      </c>
      <c r="G166" s="7" t="s">
        <v>220</v>
      </c>
      <c r="H166" s="143">
        <v>0.5</v>
      </c>
      <c r="I166" s="7"/>
    </row>
    <row r="167" spans="1:12" s="17" customFormat="1" ht="45">
      <c r="A167" s="148" t="s">
        <v>10</v>
      </c>
      <c r="B167" s="24"/>
      <c r="C167" s="148" t="s">
        <v>11</v>
      </c>
      <c r="D167" s="222"/>
      <c r="E167" s="165" t="s">
        <v>88</v>
      </c>
      <c r="F167" s="24" t="s">
        <v>221</v>
      </c>
      <c r="G167" s="27" t="s">
        <v>222</v>
      </c>
      <c r="H167" s="180">
        <f>Defaults!B16</f>
        <v>0.1</v>
      </c>
      <c r="I167" s="27"/>
      <c r="J167"/>
    </row>
    <row r="168" spans="1:12" s="54" customFormat="1" ht="45">
      <c r="A168" s="153" t="s">
        <v>10</v>
      </c>
      <c r="B168" s="56"/>
      <c r="C168" s="153" t="s">
        <v>11</v>
      </c>
      <c r="D168" s="229"/>
      <c r="E168" s="171" t="s">
        <v>127</v>
      </c>
      <c r="F168" s="51" t="s">
        <v>128</v>
      </c>
      <c r="G168" s="57" t="s">
        <v>170</v>
      </c>
      <c r="H168" s="185" t="s">
        <v>11</v>
      </c>
      <c r="I168" s="53" t="s">
        <v>223</v>
      </c>
      <c r="J168"/>
    </row>
    <row r="169" spans="1:12" s="35" customFormat="1" ht="30">
      <c r="A169" s="148" t="s">
        <v>10</v>
      </c>
      <c r="B169" s="24"/>
      <c r="C169" s="147" t="s">
        <v>11</v>
      </c>
      <c r="D169" s="221"/>
      <c r="E169" s="164" t="s">
        <v>95</v>
      </c>
      <c r="F169" s="25" t="s">
        <v>224</v>
      </c>
      <c r="G169" s="26" t="s">
        <v>225</v>
      </c>
      <c r="H169" s="188">
        <f>H176*H170*H171*H172*H173*H174*H175*16/12*1.12</f>
        <v>299.04000000000002</v>
      </c>
      <c r="I169" s="27" t="s">
        <v>226</v>
      </c>
      <c r="J169"/>
      <c r="K169"/>
      <c r="L169"/>
    </row>
    <row r="170" spans="1:12" s="17" customFormat="1">
      <c r="A170" s="148" t="s">
        <v>10</v>
      </c>
      <c r="B170" s="24"/>
      <c r="C170" s="148" t="s">
        <v>11</v>
      </c>
      <c r="D170" s="222"/>
      <c r="E170" s="165" t="s">
        <v>88</v>
      </c>
      <c r="F170" s="24" t="s">
        <v>201</v>
      </c>
      <c r="G170" s="27" t="s">
        <v>213</v>
      </c>
      <c r="H170" s="180">
        <f>Defaults!B13</f>
        <v>0.89</v>
      </c>
      <c r="I170" s="27"/>
      <c r="J170"/>
      <c r="K170"/>
      <c r="L170"/>
    </row>
    <row r="171" spans="1:12" s="17" customFormat="1" ht="30">
      <c r="A171" s="150" t="s">
        <v>10</v>
      </c>
      <c r="B171" s="36"/>
      <c r="C171" s="157" t="s">
        <v>11</v>
      </c>
      <c r="D171" s="224"/>
      <c r="E171" s="167" t="s">
        <v>88</v>
      </c>
      <c r="F171" s="33" t="s">
        <v>144</v>
      </c>
      <c r="G171" s="33" t="s">
        <v>181</v>
      </c>
      <c r="H171" s="182">
        <f>Defaults!B5</f>
        <v>0.5</v>
      </c>
      <c r="I171" s="33" t="s">
        <v>146</v>
      </c>
      <c r="J171"/>
      <c r="K171"/>
      <c r="L171"/>
    </row>
    <row r="172" spans="1:12" s="17" customFormat="1" ht="15.75">
      <c r="A172" s="150" t="s">
        <v>10</v>
      </c>
      <c r="B172" s="36"/>
      <c r="C172" s="157" t="s">
        <v>11</v>
      </c>
      <c r="D172" s="224"/>
      <c r="E172" s="167" t="s">
        <v>88</v>
      </c>
      <c r="F172" s="33" t="s">
        <v>147</v>
      </c>
      <c r="G172" s="33" t="s">
        <v>182</v>
      </c>
      <c r="H172" s="182">
        <f>Defaults!B6</f>
        <v>0.5</v>
      </c>
      <c r="I172" s="33" t="s">
        <v>149</v>
      </c>
      <c r="J172"/>
      <c r="K172"/>
      <c r="L172"/>
    </row>
    <row r="173" spans="1:12" s="17" customFormat="1" ht="15.75">
      <c r="A173" s="150" t="s">
        <v>10</v>
      </c>
      <c r="B173" s="36"/>
      <c r="C173" s="157" t="s">
        <v>11</v>
      </c>
      <c r="D173" s="224"/>
      <c r="E173" s="167" t="s">
        <v>88</v>
      </c>
      <c r="F173" s="33" t="s">
        <v>150</v>
      </c>
      <c r="G173" s="33" t="s">
        <v>183</v>
      </c>
      <c r="H173" s="182">
        <f>Defaults!B7</f>
        <v>0.5</v>
      </c>
      <c r="I173" s="33" t="s">
        <v>149</v>
      </c>
      <c r="J173"/>
      <c r="K173"/>
      <c r="L173"/>
    </row>
    <row r="174" spans="1:12" s="17" customFormat="1">
      <c r="A174" s="148" t="s">
        <v>10</v>
      </c>
      <c r="B174" s="24"/>
      <c r="C174" s="148" t="s">
        <v>11</v>
      </c>
      <c r="D174" s="222"/>
      <c r="E174" s="165" t="s">
        <v>88</v>
      </c>
      <c r="F174" s="24" t="s">
        <v>121</v>
      </c>
      <c r="G174" s="27" t="s">
        <v>122</v>
      </c>
      <c r="H174" s="180">
        <f>Defaults!B4</f>
        <v>25</v>
      </c>
      <c r="I174" s="27"/>
      <c r="J174"/>
      <c r="K174"/>
      <c r="L174"/>
    </row>
    <row r="175" spans="1:12" s="60" customFormat="1" ht="30">
      <c r="A175" s="148" t="s">
        <v>10</v>
      </c>
      <c r="B175" s="24"/>
      <c r="C175" s="148" t="s">
        <v>11</v>
      </c>
      <c r="D175" s="222"/>
      <c r="E175" s="165" t="s">
        <v>88</v>
      </c>
      <c r="F175" s="24" t="s">
        <v>227</v>
      </c>
      <c r="G175" s="27" t="s">
        <v>228</v>
      </c>
      <c r="H175" s="180">
        <f>'Tool 04-SWDS-Yearly'!$C$82</f>
        <v>0.8</v>
      </c>
      <c r="I175" s="27" t="s">
        <v>180</v>
      </c>
      <c r="J175"/>
      <c r="K175"/>
      <c r="L175"/>
    </row>
    <row r="176" spans="1:12" s="12" customFormat="1" ht="45">
      <c r="A176" s="145" t="s">
        <v>10</v>
      </c>
      <c r="B176" s="2"/>
      <c r="C176" s="145" t="s">
        <v>11</v>
      </c>
      <c r="D176" s="208"/>
      <c r="E176" s="142" t="s">
        <v>99</v>
      </c>
      <c r="F176" s="2" t="s">
        <v>229</v>
      </c>
      <c r="G176" s="7" t="s">
        <v>230</v>
      </c>
      <c r="H176" s="143">
        <v>90</v>
      </c>
      <c r="I176" s="122"/>
      <c r="J176"/>
      <c r="K176"/>
      <c r="L176"/>
    </row>
    <row r="177" spans="1:12" s="12" customFormat="1">
      <c r="A177" s="145"/>
      <c r="B177" s="2"/>
      <c r="C177" s="145"/>
      <c r="D177" s="208"/>
      <c r="E177" s="142"/>
      <c r="F177" s="2"/>
      <c r="G177" s="7"/>
      <c r="H177" s="143"/>
      <c r="I177" s="122"/>
      <c r="J177"/>
      <c r="K177"/>
      <c r="L177"/>
    </row>
    <row r="178" spans="1:12" s="35" customFormat="1" ht="30">
      <c r="A178" s="148" t="s">
        <v>10</v>
      </c>
      <c r="B178" s="24"/>
      <c r="C178" s="147" t="s">
        <v>11</v>
      </c>
      <c r="D178" s="221"/>
      <c r="E178" s="164" t="s">
        <v>95</v>
      </c>
      <c r="F178" s="25" t="s">
        <v>231</v>
      </c>
      <c r="G178" s="26" t="s">
        <v>232</v>
      </c>
      <c r="H178" s="67">
        <f>'Tool 04-SWDS-Yearly'!$C$86</f>
        <v>0</v>
      </c>
      <c r="I178" s="124" t="s">
        <v>233</v>
      </c>
      <c r="J178"/>
      <c r="K178"/>
      <c r="L178"/>
    </row>
    <row r="179" spans="1:12" s="10" customFormat="1">
      <c r="A179" s="145"/>
      <c r="B179" s="2"/>
      <c r="C179" s="141"/>
      <c r="D179" s="216"/>
      <c r="E179" s="163"/>
      <c r="F179" s="3"/>
      <c r="G179" s="8"/>
      <c r="H179" s="177"/>
      <c r="I179" s="123"/>
      <c r="J179"/>
      <c r="K179"/>
      <c r="L179"/>
    </row>
    <row r="180" spans="1:12" s="35" customFormat="1" ht="60.75" customHeight="1">
      <c r="A180" s="148" t="s">
        <v>10</v>
      </c>
      <c r="B180" s="24"/>
      <c r="C180" s="147" t="s">
        <v>11</v>
      </c>
      <c r="D180" s="221"/>
      <c r="E180" s="164" t="s">
        <v>95</v>
      </c>
      <c r="F180" s="25" t="s">
        <v>234</v>
      </c>
      <c r="G180" s="26" t="s">
        <v>235</v>
      </c>
      <c r="H180" s="188">
        <f>'Tool 06'!$F$69</f>
        <v>20523.291091650441</v>
      </c>
      <c r="I180" s="39" t="s">
        <v>236</v>
      </c>
      <c r="J180"/>
      <c r="K180"/>
      <c r="L180"/>
    </row>
    <row r="181" spans="1:12" s="35" customFormat="1" ht="30">
      <c r="A181" s="148" t="s">
        <v>10</v>
      </c>
      <c r="B181" s="24"/>
      <c r="C181" s="147" t="s">
        <v>11</v>
      </c>
      <c r="D181" s="221"/>
      <c r="E181" s="164" t="s">
        <v>95</v>
      </c>
      <c r="F181" s="25" t="s">
        <v>237</v>
      </c>
      <c r="G181" s="26" t="s">
        <v>238</v>
      </c>
      <c r="H181" s="188">
        <f>H184+H193</f>
        <v>34.11666666666666</v>
      </c>
      <c r="I181" s="26" t="s">
        <v>239</v>
      </c>
      <c r="J181"/>
      <c r="K181"/>
      <c r="L181"/>
    </row>
    <row r="182" spans="1:12" ht="30">
      <c r="A182" s="145" t="s">
        <v>10</v>
      </c>
      <c r="B182" s="2"/>
      <c r="C182" s="145" t="s">
        <v>11</v>
      </c>
      <c r="D182" s="208"/>
      <c r="E182" s="142" t="s">
        <v>99</v>
      </c>
      <c r="F182" s="2" t="s">
        <v>209</v>
      </c>
      <c r="G182" s="7" t="s">
        <v>240</v>
      </c>
      <c r="H182" s="143">
        <v>50</v>
      </c>
      <c r="I182" s="7"/>
    </row>
    <row r="183" spans="1:12" s="17" customFormat="1" ht="30">
      <c r="A183" s="148" t="s">
        <v>10</v>
      </c>
      <c r="B183" s="24"/>
      <c r="C183" s="148" t="s">
        <v>11</v>
      </c>
      <c r="D183" s="222"/>
      <c r="E183" s="165" t="s">
        <v>88</v>
      </c>
      <c r="F183" s="24" t="s">
        <v>241</v>
      </c>
      <c r="G183" s="27" t="s">
        <v>242</v>
      </c>
      <c r="H183" s="180">
        <f>Defaults!B18</f>
        <v>0.8</v>
      </c>
      <c r="I183" s="27" t="s">
        <v>197</v>
      </c>
      <c r="J183"/>
      <c r="K183"/>
      <c r="L183"/>
    </row>
    <row r="184" spans="1:12" s="17" customFormat="1" ht="45">
      <c r="A184" s="148" t="s">
        <v>10</v>
      </c>
      <c r="B184" s="24"/>
      <c r="C184" s="148" t="s">
        <v>11</v>
      </c>
      <c r="D184" s="222"/>
      <c r="E184" s="164" t="s">
        <v>95</v>
      </c>
      <c r="F184" s="25" t="s">
        <v>243</v>
      </c>
      <c r="G184" s="27" t="s">
        <v>244</v>
      </c>
      <c r="H184" s="180">
        <f>(1-H185)*H187*H186</f>
        <v>22.249999999999996</v>
      </c>
      <c r="I184" s="26" t="s">
        <v>245</v>
      </c>
      <c r="J184"/>
      <c r="K184"/>
      <c r="L184"/>
    </row>
    <row r="185" spans="1:12" s="17" customFormat="1" ht="30">
      <c r="A185" s="148" t="s">
        <v>10</v>
      </c>
      <c r="B185" s="24"/>
      <c r="C185" s="148" t="s">
        <v>11</v>
      </c>
      <c r="D185" s="222"/>
      <c r="E185" s="165" t="s">
        <v>88</v>
      </c>
      <c r="F185" s="24" t="s">
        <v>246</v>
      </c>
      <c r="G185" s="27" t="s">
        <v>247</v>
      </c>
      <c r="H185" s="180">
        <f>Defaults!B19</f>
        <v>0.9</v>
      </c>
      <c r="I185" s="27" t="s">
        <v>141</v>
      </c>
      <c r="J185"/>
    </row>
    <row r="186" spans="1:12" s="17" customFormat="1">
      <c r="A186" s="148" t="s">
        <v>10</v>
      </c>
      <c r="B186" s="24"/>
      <c r="C186" s="148" t="s">
        <v>11</v>
      </c>
      <c r="D186" s="222"/>
      <c r="E186" s="165" t="s">
        <v>88</v>
      </c>
      <c r="F186" s="24" t="s">
        <v>121</v>
      </c>
      <c r="G186" s="27" t="s">
        <v>122</v>
      </c>
      <c r="H186" s="180">
        <f>Defaults!B4</f>
        <v>25</v>
      </c>
      <c r="I186" s="27"/>
      <c r="J186"/>
    </row>
    <row r="187" spans="1:12" s="17" customFormat="1" ht="45">
      <c r="A187" s="148" t="s">
        <v>10</v>
      </c>
      <c r="B187" s="24"/>
      <c r="C187" s="148" t="s">
        <v>11</v>
      </c>
      <c r="D187" s="222"/>
      <c r="E187" s="164" t="s">
        <v>95</v>
      </c>
      <c r="F187" s="25" t="s">
        <v>248</v>
      </c>
      <c r="G187" s="27" t="s">
        <v>249</v>
      </c>
      <c r="H187" s="180">
        <f>H188*H189*H190*H191*H192</f>
        <v>8.9</v>
      </c>
      <c r="I187" s="26" t="s">
        <v>250</v>
      </c>
      <c r="J187"/>
    </row>
    <row r="188" spans="1:12" ht="30">
      <c r="A188" s="145" t="s">
        <v>10</v>
      </c>
      <c r="B188" s="2"/>
      <c r="C188" s="145" t="s">
        <v>11</v>
      </c>
      <c r="D188" s="208"/>
      <c r="E188" s="142" t="s">
        <v>99</v>
      </c>
      <c r="F188" s="2" t="s">
        <v>251</v>
      </c>
      <c r="G188" s="7" t="s">
        <v>252</v>
      </c>
      <c r="H188" s="135">
        <v>1000</v>
      </c>
      <c r="I188" s="122" t="s">
        <v>141</v>
      </c>
    </row>
    <row r="189" spans="1:12" s="17" customFormat="1" ht="30">
      <c r="A189" s="148" t="s">
        <v>10</v>
      </c>
      <c r="B189" s="24"/>
      <c r="C189" s="148" t="s">
        <v>11</v>
      </c>
      <c r="D189" s="222"/>
      <c r="E189" s="165" t="s">
        <v>88</v>
      </c>
      <c r="F189" s="24" t="s">
        <v>253</v>
      </c>
      <c r="G189" s="27" t="s">
        <v>254</v>
      </c>
      <c r="H189" s="189">
        <f>Defaults!B2</f>
        <v>0.25</v>
      </c>
      <c r="I189" s="125" t="s">
        <v>141</v>
      </c>
      <c r="J189"/>
    </row>
    <row r="190" spans="1:12" s="17" customFormat="1" ht="30">
      <c r="A190" s="148" t="s">
        <v>10</v>
      </c>
      <c r="B190" s="24"/>
      <c r="C190" s="148" t="s">
        <v>11</v>
      </c>
      <c r="D190" s="222"/>
      <c r="E190" s="165" t="s">
        <v>88</v>
      </c>
      <c r="F190" s="24" t="s">
        <v>255</v>
      </c>
      <c r="G190" s="27" t="s">
        <v>256</v>
      </c>
      <c r="H190" s="189">
        <f>Defaults!B13</f>
        <v>0.89</v>
      </c>
      <c r="I190" s="125" t="s">
        <v>141</v>
      </c>
      <c r="J190"/>
    </row>
    <row r="191" spans="1:12" ht="45">
      <c r="A191" s="145" t="s">
        <v>10</v>
      </c>
      <c r="B191" s="2"/>
      <c r="C191" s="145" t="s">
        <v>11</v>
      </c>
      <c r="D191" s="208"/>
      <c r="E191" s="142" t="s">
        <v>99</v>
      </c>
      <c r="F191" s="2" t="s">
        <v>198</v>
      </c>
      <c r="G191" s="7" t="s">
        <v>257</v>
      </c>
      <c r="H191" s="135">
        <v>0.4</v>
      </c>
      <c r="I191" s="122" t="s">
        <v>141</v>
      </c>
    </row>
    <row r="192" spans="1:12" s="17" customFormat="1" ht="30">
      <c r="A192" s="148" t="s">
        <v>10</v>
      </c>
      <c r="B192" s="24"/>
      <c r="C192" s="148" t="s">
        <v>11</v>
      </c>
      <c r="D192" s="222"/>
      <c r="E192" s="165" t="s">
        <v>88</v>
      </c>
      <c r="F192" s="24" t="s">
        <v>195</v>
      </c>
      <c r="G192" s="27" t="s">
        <v>258</v>
      </c>
      <c r="H192" s="189">
        <f>Defaults!B14</f>
        <v>0.1</v>
      </c>
      <c r="I192" s="25" t="s">
        <v>259</v>
      </c>
      <c r="J192"/>
    </row>
    <row r="193" spans="1:10" s="35" customFormat="1" ht="45">
      <c r="A193" s="148" t="s">
        <v>10</v>
      </c>
      <c r="B193" s="24"/>
      <c r="C193" s="147" t="s">
        <v>11</v>
      </c>
      <c r="D193" s="221"/>
      <c r="E193" s="164" t="s">
        <v>95</v>
      </c>
      <c r="F193" s="25" t="s">
        <v>260</v>
      </c>
      <c r="G193" s="26" t="s">
        <v>261</v>
      </c>
      <c r="H193" s="188">
        <f xml:space="preserve"> (1 - H194)*H196*H195</f>
        <v>11.866666666666665</v>
      </c>
      <c r="I193" s="26" t="s">
        <v>262</v>
      </c>
      <c r="J193"/>
    </row>
    <row r="194" spans="1:10" s="17" customFormat="1" ht="30">
      <c r="A194" s="148" t="s">
        <v>10</v>
      </c>
      <c r="B194" s="24"/>
      <c r="C194" s="148" t="s">
        <v>11</v>
      </c>
      <c r="D194" s="222"/>
      <c r="E194" s="165" t="s">
        <v>88</v>
      </c>
      <c r="F194" s="24" t="s">
        <v>263</v>
      </c>
      <c r="G194" s="27" t="s">
        <v>264</v>
      </c>
      <c r="H194" s="180">
        <f>Defaults!B20</f>
        <v>0.9</v>
      </c>
      <c r="I194" s="27" t="s">
        <v>141</v>
      </c>
      <c r="J194"/>
    </row>
    <row r="195" spans="1:10" s="17" customFormat="1">
      <c r="A195" s="148" t="s">
        <v>10</v>
      </c>
      <c r="B195" s="24"/>
      <c r="C195" s="148" t="s">
        <v>11</v>
      </c>
      <c r="D195" s="222"/>
      <c r="E195" s="165" t="s">
        <v>88</v>
      </c>
      <c r="F195" s="24" t="s">
        <v>265</v>
      </c>
      <c r="G195" s="27" t="s">
        <v>122</v>
      </c>
      <c r="H195" s="180">
        <f>Defaults!B4</f>
        <v>25</v>
      </c>
      <c r="I195" s="27"/>
      <c r="J195"/>
    </row>
    <row r="196" spans="1:10" s="35" customFormat="1" ht="45">
      <c r="A196" s="147" t="s">
        <v>10</v>
      </c>
      <c r="B196" s="25"/>
      <c r="C196" s="147" t="s">
        <v>11</v>
      </c>
      <c r="D196" s="221"/>
      <c r="E196" s="164" t="s">
        <v>95</v>
      </c>
      <c r="F196" s="25" t="s">
        <v>266</v>
      </c>
      <c r="G196" s="26" t="s">
        <v>267</v>
      </c>
      <c r="H196" s="188">
        <f>H198*H197*H198*H199*H200*H201*H202*16/12</f>
        <v>4.746666666666667</v>
      </c>
      <c r="I196" s="38" t="s">
        <v>268</v>
      </c>
      <c r="J196"/>
    </row>
    <row r="197" spans="1:10" ht="30">
      <c r="A197" s="145" t="s">
        <v>10</v>
      </c>
      <c r="B197" s="2"/>
      <c r="C197" s="145" t="s">
        <v>11</v>
      </c>
      <c r="D197" s="208"/>
      <c r="E197" s="142" t="s">
        <v>99</v>
      </c>
      <c r="F197" s="2" t="s">
        <v>209</v>
      </c>
      <c r="G197" s="7" t="s">
        <v>269</v>
      </c>
      <c r="H197" s="135">
        <v>50</v>
      </c>
      <c r="I197" s="122" t="s">
        <v>141</v>
      </c>
    </row>
    <row r="198" spans="1:10" s="17" customFormat="1" ht="30">
      <c r="A198" s="148" t="s">
        <v>10</v>
      </c>
      <c r="B198" s="24"/>
      <c r="C198" s="148" t="s">
        <v>11</v>
      </c>
      <c r="D198" s="222"/>
      <c r="E198" s="165" t="s">
        <v>88</v>
      </c>
      <c r="F198" s="24" t="s">
        <v>241</v>
      </c>
      <c r="G198" s="27" t="s">
        <v>242</v>
      </c>
      <c r="H198" s="189">
        <f>Defaults!B18</f>
        <v>0.8</v>
      </c>
      <c r="I198" s="24" t="s">
        <v>259</v>
      </c>
      <c r="J198"/>
    </row>
    <row r="199" spans="1:10" s="17" customFormat="1" ht="30">
      <c r="A199" s="148" t="s">
        <v>10</v>
      </c>
      <c r="B199" s="24"/>
      <c r="C199" s="148" t="s">
        <v>11</v>
      </c>
      <c r="D199" s="222"/>
      <c r="E199" s="165" t="s">
        <v>88</v>
      </c>
      <c r="F199" s="24" t="s">
        <v>255</v>
      </c>
      <c r="G199" s="27" t="s">
        <v>256</v>
      </c>
      <c r="H199" s="189">
        <f>Defaults!B13</f>
        <v>0.89</v>
      </c>
      <c r="I199" s="125" t="s">
        <v>141</v>
      </c>
      <c r="J199"/>
    </row>
    <row r="200" spans="1:10" ht="30">
      <c r="A200" s="145" t="s">
        <v>10</v>
      </c>
      <c r="B200" s="2"/>
      <c r="C200" s="145" t="s">
        <v>11</v>
      </c>
      <c r="D200" s="208"/>
      <c r="E200" s="142" t="s">
        <v>99</v>
      </c>
      <c r="F200" s="2" t="s">
        <v>270</v>
      </c>
      <c r="G200" s="7" t="s">
        <v>271</v>
      </c>
      <c r="H200" s="135">
        <f>Defaults!B5</f>
        <v>0.5</v>
      </c>
      <c r="I200" s="122" t="s">
        <v>141</v>
      </c>
    </row>
    <row r="201" spans="1:10" s="17" customFormat="1" ht="30">
      <c r="A201" s="148" t="s">
        <v>10</v>
      </c>
      <c r="B201" s="24"/>
      <c r="C201" s="148" t="s">
        <v>11</v>
      </c>
      <c r="D201" s="222"/>
      <c r="E201" s="165" t="s">
        <v>88</v>
      </c>
      <c r="F201" s="24" t="s">
        <v>272</v>
      </c>
      <c r="G201" s="27" t="s">
        <v>273</v>
      </c>
      <c r="H201" s="189">
        <f>Defaults!B6</f>
        <v>0.5</v>
      </c>
      <c r="I201" s="125" t="s">
        <v>141</v>
      </c>
      <c r="J201"/>
    </row>
    <row r="202" spans="1:10" s="17" customFormat="1" ht="30">
      <c r="A202" s="148" t="s">
        <v>10</v>
      </c>
      <c r="B202" s="24"/>
      <c r="C202" s="148" t="s">
        <v>11</v>
      </c>
      <c r="D202" s="222"/>
      <c r="E202" s="165" t="s">
        <v>88</v>
      </c>
      <c r="F202" s="24" t="s">
        <v>150</v>
      </c>
      <c r="G202" s="27" t="s">
        <v>274</v>
      </c>
      <c r="H202" s="189">
        <f>Defaults!B7</f>
        <v>0.5</v>
      </c>
      <c r="I202" s="125" t="s">
        <v>141</v>
      </c>
      <c r="J202"/>
    </row>
    <row r="203" spans="1:10" s="199" customFormat="1" ht="30">
      <c r="A203" s="211" t="s">
        <v>275</v>
      </c>
      <c r="B203" s="193"/>
      <c r="C203" s="194"/>
      <c r="D203" s="231"/>
      <c r="E203" s="195" t="s">
        <v>141</v>
      </c>
      <c r="F203" s="196" t="s">
        <v>141</v>
      </c>
      <c r="G203" s="197"/>
      <c r="H203" s="198"/>
      <c r="J203"/>
    </row>
    <row r="204" spans="1:10" s="35" customFormat="1" ht="30">
      <c r="A204" s="147" t="s">
        <v>10</v>
      </c>
      <c r="B204" s="25"/>
      <c r="C204" s="147" t="s">
        <v>11</v>
      </c>
      <c r="D204" s="221"/>
      <c r="E204" s="164" t="s">
        <v>127</v>
      </c>
      <c r="F204" s="35" t="s">
        <v>128</v>
      </c>
      <c r="G204" s="26" t="s">
        <v>276</v>
      </c>
      <c r="H204" s="188" t="s">
        <v>11</v>
      </c>
      <c r="I204" s="26" t="s">
        <v>277</v>
      </c>
      <c r="J204"/>
    </row>
    <row r="205" spans="1:10" ht="45">
      <c r="A205" s="145" t="s">
        <v>10</v>
      </c>
      <c r="B205" s="2"/>
      <c r="C205" s="145" t="s">
        <v>11</v>
      </c>
      <c r="D205" s="208"/>
      <c r="E205" s="142" t="s">
        <v>99</v>
      </c>
      <c r="F205" s="123" t="s">
        <v>278</v>
      </c>
      <c r="G205" s="7" t="s">
        <v>279</v>
      </c>
      <c r="H205" s="143">
        <v>0</v>
      </c>
      <c r="I205" s="7"/>
    </row>
    <row r="206" spans="1:10">
      <c r="A206" s="145"/>
      <c r="B206" s="2"/>
      <c r="C206" s="145"/>
      <c r="D206" s="208"/>
      <c r="E206" s="142"/>
      <c r="F206" s="2"/>
      <c r="G206" s="7"/>
      <c r="H206" s="143"/>
      <c r="I206" s="7"/>
    </row>
    <row r="207" spans="1:10" s="30" customFormat="1" ht="30">
      <c r="A207" s="210" t="s">
        <v>280</v>
      </c>
      <c r="B207" s="58"/>
      <c r="C207" s="158"/>
      <c r="D207" s="230"/>
      <c r="E207" s="176" t="s">
        <v>141</v>
      </c>
      <c r="F207" s="126" t="s">
        <v>141</v>
      </c>
      <c r="G207" s="59"/>
      <c r="H207" s="187"/>
      <c r="J207"/>
    </row>
    <row r="208" spans="1:10" s="17" customFormat="1" ht="330">
      <c r="A208" s="148" t="s">
        <v>10</v>
      </c>
      <c r="B208" s="24"/>
      <c r="C208" s="148" t="s">
        <v>10</v>
      </c>
      <c r="D208" s="222"/>
      <c r="E208" s="165" t="s">
        <v>127</v>
      </c>
      <c r="F208" s="24"/>
      <c r="G208" s="27" t="s">
        <v>281</v>
      </c>
      <c r="H208" s="201" t="s">
        <v>282</v>
      </c>
      <c r="I208" s="27"/>
      <c r="J208"/>
    </row>
    <row r="209" spans="1:12">
      <c r="A209" s="145"/>
      <c r="B209" s="2"/>
      <c r="C209" s="145"/>
      <c r="D209" s="208"/>
      <c r="E209" s="142"/>
      <c r="F209" s="2"/>
      <c r="G209" s="7"/>
      <c r="H209" s="190"/>
      <c r="I209" s="7"/>
    </row>
    <row r="210" spans="1:12" s="46" customFormat="1" ht="22.5" customHeight="1">
      <c r="A210" s="155" t="s">
        <v>283</v>
      </c>
      <c r="B210" s="43"/>
      <c r="C210" s="159"/>
      <c r="D210" s="232"/>
      <c r="E210" s="173"/>
      <c r="F210" s="44"/>
      <c r="G210" s="45"/>
      <c r="H210" s="191"/>
      <c r="I210" s="45"/>
      <c r="J210"/>
    </row>
    <row r="211" spans="1:12" s="17" customFormat="1">
      <c r="A211" s="147" t="s">
        <v>10</v>
      </c>
      <c r="B211" s="25"/>
      <c r="C211" s="148" t="s">
        <v>10</v>
      </c>
      <c r="D211" s="238" t="s">
        <v>284</v>
      </c>
      <c r="E211" s="165" t="s">
        <v>95</v>
      </c>
      <c r="F211" s="24" t="s">
        <v>285</v>
      </c>
      <c r="G211" s="27" t="s">
        <v>286</v>
      </c>
      <c r="H211" s="189">
        <f>H212-H213-H214</f>
        <v>1000</v>
      </c>
      <c r="I211" s="24" t="s">
        <v>287</v>
      </c>
      <c r="J211"/>
    </row>
    <row r="212" spans="1:12" s="17" customFormat="1">
      <c r="A212" s="147" t="s">
        <v>10</v>
      </c>
      <c r="B212" s="25"/>
      <c r="C212" s="148" t="s">
        <v>10</v>
      </c>
      <c r="D212" s="238" t="s">
        <v>288</v>
      </c>
      <c r="E212" s="165" t="s">
        <v>95</v>
      </c>
      <c r="F212" s="24" t="s">
        <v>289</v>
      </c>
      <c r="G212" s="27" t="s">
        <v>290</v>
      </c>
      <c r="H212" s="189">
        <v>1500</v>
      </c>
      <c r="I212" s="24"/>
      <c r="J212"/>
    </row>
    <row r="213" spans="1:12" s="17" customFormat="1">
      <c r="A213" s="147" t="s">
        <v>10</v>
      </c>
      <c r="B213" s="25"/>
      <c r="C213" s="148" t="s">
        <v>10</v>
      </c>
      <c r="D213" s="238" t="s">
        <v>291</v>
      </c>
      <c r="E213" s="165" t="s">
        <v>95</v>
      </c>
      <c r="F213" s="24" t="s">
        <v>292</v>
      </c>
      <c r="G213" s="27" t="s">
        <v>293</v>
      </c>
      <c r="H213" s="189">
        <v>500</v>
      </c>
      <c r="I213" s="24"/>
      <c r="J213"/>
    </row>
    <row r="214" spans="1:12" s="17" customFormat="1" ht="20.25" customHeight="1">
      <c r="A214" s="147" t="s">
        <v>10</v>
      </c>
      <c r="B214" s="25"/>
      <c r="C214" s="148" t="s">
        <v>10</v>
      </c>
      <c r="D214" s="222"/>
      <c r="E214" s="165" t="s">
        <v>95</v>
      </c>
      <c r="F214" s="24" t="s">
        <v>294</v>
      </c>
      <c r="G214" s="27" t="s">
        <v>295</v>
      </c>
      <c r="H214" s="189">
        <v>0</v>
      </c>
      <c r="I214" s="125" t="s">
        <v>141</v>
      </c>
      <c r="J214"/>
    </row>
    <row r="215" spans="1:12" s="46" customFormat="1" ht="30">
      <c r="A215" s="212" t="s">
        <v>296</v>
      </c>
      <c r="B215" s="43"/>
      <c r="C215" s="160" t="s">
        <v>141</v>
      </c>
      <c r="D215" s="233"/>
      <c r="E215" s="174" t="s">
        <v>141</v>
      </c>
      <c r="F215" s="127" t="s">
        <v>141</v>
      </c>
      <c r="G215" s="127" t="s">
        <v>141</v>
      </c>
      <c r="H215" s="192" t="s">
        <v>141</v>
      </c>
      <c r="I215" s="127" t="s">
        <v>141</v>
      </c>
      <c r="J215"/>
    </row>
    <row r="216" spans="1:12" s="17" customFormat="1">
      <c r="A216" s="147" t="s">
        <v>10</v>
      </c>
      <c r="B216" s="25"/>
      <c r="C216" s="148" t="s">
        <v>11</v>
      </c>
      <c r="D216" s="238" t="s">
        <v>284</v>
      </c>
      <c r="E216" s="165" t="s">
        <v>95</v>
      </c>
      <c r="F216" s="24" t="s">
        <v>297</v>
      </c>
      <c r="G216" s="27" t="s">
        <v>298</v>
      </c>
      <c r="H216" s="189">
        <f>H217-H218-H219</f>
        <v>11686.214117170894</v>
      </c>
      <c r="I216" s="24" t="s">
        <v>299</v>
      </c>
      <c r="J216"/>
    </row>
    <row r="217" spans="1:12" s="17" customFormat="1">
      <c r="A217" s="147" t="s">
        <v>10</v>
      </c>
      <c r="B217" s="25"/>
      <c r="C217" s="148" t="s">
        <v>11</v>
      </c>
      <c r="D217" s="238" t="s">
        <v>288</v>
      </c>
      <c r="E217" s="165" t="s">
        <v>95</v>
      </c>
      <c r="F217" s="24" t="s">
        <v>300</v>
      </c>
      <c r="G217" s="27" t="s">
        <v>301</v>
      </c>
      <c r="H217" s="189">
        <f>H36</f>
        <v>78590.105833333335</v>
      </c>
      <c r="I217" s="24" t="s">
        <v>302</v>
      </c>
      <c r="J217"/>
      <c r="K217"/>
      <c r="L217"/>
    </row>
    <row r="218" spans="1:12" s="17" customFormat="1">
      <c r="A218" s="147" t="s">
        <v>10</v>
      </c>
      <c r="B218" s="25"/>
      <c r="C218" s="148" t="s">
        <v>11</v>
      </c>
      <c r="D218" s="238" t="s">
        <v>291</v>
      </c>
      <c r="E218" s="165" t="s">
        <v>95</v>
      </c>
      <c r="F218" s="24" t="s">
        <v>303</v>
      </c>
      <c r="G218" s="27" t="s">
        <v>304</v>
      </c>
      <c r="H218" s="189">
        <f>H121</f>
        <v>66903.891716162441</v>
      </c>
      <c r="I218" s="24" t="s">
        <v>305</v>
      </c>
      <c r="J218"/>
      <c r="K218"/>
      <c r="L218"/>
    </row>
    <row r="219" spans="1:12" s="17" customFormat="1" ht="20.25" customHeight="1">
      <c r="A219" s="147" t="s">
        <v>10</v>
      </c>
      <c r="B219" s="25"/>
      <c r="C219" s="148" t="s">
        <v>11</v>
      </c>
      <c r="D219" s="222"/>
      <c r="E219" s="165" t="s">
        <v>95</v>
      </c>
      <c r="F219" s="24" t="s">
        <v>306</v>
      </c>
      <c r="G219" s="27" t="s">
        <v>307</v>
      </c>
      <c r="H219" s="189">
        <f>H205</f>
        <v>0</v>
      </c>
      <c r="I219" s="125" t="s">
        <v>141</v>
      </c>
      <c r="J219"/>
      <c r="K219"/>
      <c r="L219"/>
    </row>
    <row r="220" spans="1:12" s="46" customFormat="1" ht="30">
      <c r="A220" s="212" t="s">
        <v>308</v>
      </c>
      <c r="B220" s="43"/>
      <c r="C220" s="160" t="s">
        <v>141</v>
      </c>
      <c r="D220" s="233"/>
      <c r="E220" s="173"/>
      <c r="F220" s="44"/>
      <c r="G220" s="127" t="s">
        <v>141</v>
      </c>
      <c r="H220" s="192" t="s">
        <v>141</v>
      </c>
      <c r="I220" s="127" t="s">
        <v>141</v>
      </c>
      <c r="J220"/>
      <c r="K220"/>
      <c r="L220"/>
    </row>
    <row r="221" spans="1:12" s="17" customFormat="1">
      <c r="A221" s="147" t="s">
        <v>10</v>
      </c>
      <c r="B221" s="25"/>
      <c r="C221" s="148" t="s">
        <v>11</v>
      </c>
      <c r="D221" s="238" t="s">
        <v>284</v>
      </c>
      <c r="E221" s="165" t="s">
        <v>95</v>
      </c>
      <c r="F221" s="24" t="s">
        <v>309</v>
      </c>
      <c r="G221" s="27" t="s">
        <v>298</v>
      </c>
      <c r="H221" s="189">
        <f>MIN((H217-H218-H219), (H222-H123-H178-H219))</f>
        <v>11686.214117170894</v>
      </c>
      <c r="I221" s="24" t="s">
        <v>310</v>
      </c>
      <c r="J221"/>
      <c r="K221"/>
      <c r="L221"/>
    </row>
    <row r="222" spans="1:12" s="35" customFormat="1" ht="30">
      <c r="A222" s="147" t="s">
        <v>10</v>
      </c>
      <c r="B222" s="25"/>
      <c r="C222" s="147" t="s">
        <v>11</v>
      </c>
      <c r="D222" s="221"/>
      <c r="E222" s="164" t="s">
        <v>95</v>
      </c>
      <c r="F222" s="25" t="s">
        <v>311</v>
      </c>
      <c r="G222" s="26" t="s">
        <v>312</v>
      </c>
      <c r="H222" s="179">
        <f>H223*H224*H225*H226*H227</f>
        <v>4810238.9411980361</v>
      </c>
      <c r="I222" s="25" t="s">
        <v>313</v>
      </c>
      <c r="J222"/>
      <c r="K222"/>
      <c r="L222"/>
    </row>
    <row r="223" spans="1:12" ht="30">
      <c r="A223" s="141" t="s">
        <v>10</v>
      </c>
      <c r="B223" s="3"/>
      <c r="C223" s="145" t="s">
        <v>11</v>
      </c>
      <c r="D223" s="208"/>
      <c r="E223" s="142" t="s">
        <v>99</v>
      </c>
      <c r="F223" s="2" t="s">
        <v>314</v>
      </c>
      <c r="G223" s="7" t="s">
        <v>315</v>
      </c>
      <c r="H223" s="135">
        <v>5000</v>
      </c>
      <c r="I223" s="7"/>
    </row>
    <row r="224" spans="1:12" ht="30">
      <c r="A224" s="141" t="s">
        <v>10</v>
      </c>
      <c r="B224" s="3"/>
      <c r="C224" s="145" t="s">
        <v>11</v>
      </c>
      <c r="D224" s="208"/>
      <c r="E224" s="142" t="s">
        <v>99</v>
      </c>
      <c r="F224" s="2" t="s">
        <v>316</v>
      </c>
      <c r="G224" s="7" t="s">
        <v>317</v>
      </c>
      <c r="H224" s="200">
        <v>0.6</v>
      </c>
      <c r="I224" s="7"/>
    </row>
    <row r="225" spans="1:12" s="17" customFormat="1">
      <c r="A225" s="147" t="s">
        <v>10</v>
      </c>
      <c r="B225" s="25"/>
      <c r="C225" s="148" t="s">
        <v>11</v>
      </c>
      <c r="D225" s="222"/>
      <c r="E225" s="165" t="s">
        <v>88</v>
      </c>
      <c r="F225" s="24" t="s">
        <v>318</v>
      </c>
      <c r="G225" s="27" t="s">
        <v>319</v>
      </c>
      <c r="H225" s="189">
        <f>'Tool 06'!$F$52</f>
        <v>97.620272779259992</v>
      </c>
      <c r="I225" s="27" t="s">
        <v>320</v>
      </c>
      <c r="J225"/>
      <c r="K225"/>
      <c r="L225"/>
    </row>
    <row r="226" spans="1:12" ht="30">
      <c r="A226" s="141" t="s">
        <v>10</v>
      </c>
      <c r="B226" s="3"/>
      <c r="C226" s="145" t="s">
        <v>11</v>
      </c>
      <c r="D226" s="208"/>
      <c r="E226" s="142" t="s">
        <v>99</v>
      </c>
      <c r="F226" s="2" t="s">
        <v>321</v>
      </c>
      <c r="G226" s="7" t="s">
        <v>322</v>
      </c>
      <c r="H226" s="135">
        <v>0.65700000000000003</v>
      </c>
      <c r="I226" s="7"/>
    </row>
    <row r="227" spans="1:12" s="17" customFormat="1">
      <c r="A227" s="147" t="s">
        <v>10</v>
      </c>
      <c r="B227" s="25"/>
      <c r="C227" s="148" t="s">
        <v>11</v>
      </c>
      <c r="D227" s="222"/>
      <c r="E227" s="165" t="s">
        <v>88</v>
      </c>
      <c r="F227" s="24" t="s">
        <v>265</v>
      </c>
      <c r="G227" s="27" t="s">
        <v>122</v>
      </c>
      <c r="H227" s="180">
        <f>Defaults!B4</f>
        <v>25</v>
      </c>
      <c r="I227" s="27"/>
      <c r="J227"/>
      <c r="K227"/>
      <c r="L227"/>
    </row>
    <row r="229" spans="1:12">
      <c r="G229" s="47"/>
    </row>
  </sheetData>
  <mergeCells count="12">
    <mergeCell ref="A160:H160"/>
    <mergeCell ref="A125:H125"/>
    <mergeCell ref="A151:H151"/>
    <mergeCell ref="A142:H142"/>
    <mergeCell ref="A40:H40"/>
    <mergeCell ref="A45:H45"/>
    <mergeCell ref="A56:H56"/>
    <mergeCell ref="A78:H78"/>
    <mergeCell ref="A50:H50"/>
    <mergeCell ref="A139:H139"/>
    <mergeCell ref="A100:H100"/>
    <mergeCell ref="A132:H132"/>
  </mergeCells>
  <dataValidations count="1">
    <dataValidation type="list" allowBlank="1" showInputMessage="1" showErrorMessage="1" sqref="D1:D1048576" xr:uid="{A52548C5-39B6-47FA-ABA0-EF45F9419FD0}">
      <formula1>$A$2:$A$277</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B73F6A1-5A61-4233-8048-B0B3BF8BECF5}">
          <x14:formula1>
            <xm:f>'IWA Properties'!$B$2:$B$481</xm:f>
          </x14:formula1>
          <xm:sqref>H23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C1E81-9223-4ABA-BD80-2DC1003C2F3E}">
  <dimension ref="A1:B22"/>
  <sheetViews>
    <sheetView workbookViewId="0">
      <selection activeCell="B11" sqref="B11"/>
    </sheetView>
  </sheetViews>
  <sheetFormatPr defaultColWidth="8.85546875" defaultRowHeight="15"/>
  <cols>
    <col min="1" max="1" width="28.42578125" style="10" customWidth="1"/>
    <col min="2" max="2" width="17.85546875" style="41" customWidth="1"/>
  </cols>
  <sheetData>
    <row r="1" spans="1:2">
      <c r="A1" s="10" t="s">
        <v>864</v>
      </c>
      <c r="B1" s="40" t="s">
        <v>865</v>
      </c>
    </row>
    <row r="2" spans="1:2">
      <c r="A2" t="s">
        <v>253</v>
      </c>
      <c r="B2" s="41">
        <v>0.25</v>
      </c>
    </row>
    <row r="3" spans="1:2">
      <c r="A3" t="s">
        <v>176</v>
      </c>
      <c r="B3" s="41">
        <v>0.89</v>
      </c>
    </row>
    <row r="4" spans="1:2">
      <c r="A4" t="s">
        <v>265</v>
      </c>
      <c r="B4" s="41">
        <v>25</v>
      </c>
    </row>
    <row r="5" spans="1:2">
      <c r="A5" t="s">
        <v>270</v>
      </c>
      <c r="B5" s="41">
        <v>0.5</v>
      </c>
    </row>
    <row r="6" spans="1:2">
      <c r="A6" t="s">
        <v>272</v>
      </c>
      <c r="B6" s="41">
        <v>0.5</v>
      </c>
    </row>
    <row r="7" spans="1:2">
      <c r="A7" t="s">
        <v>150</v>
      </c>
      <c r="B7" s="41">
        <v>0.5</v>
      </c>
    </row>
    <row r="8" spans="1:2">
      <c r="A8" s="2" t="s">
        <v>111</v>
      </c>
      <c r="B8" s="41">
        <f>MCF!B6</f>
        <v>0.8</v>
      </c>
    </row>
    <row r="9" spans="1:2">
      <c r="A9" t="s">
        <v>866</v>
      </c>
      <c r="B9" s="41">
        <f>MCF!B8</f>
        <v>0.2</v>
      </c>
    </row>
    <row r="10" spans="1:2">
      <c r="A10" t="s">
        <v>157</v>
      </c>
      <c r="B10" s="41">
        <v>0.01</v>
      </c>
    </row>
    <row r="11" spans="1:2">
      <c r="A11" t="s">
        <v>168</v>
      </c>
      <c r="B11" s="41">
        <f>MCF!B8</f>
        <v>0.2</v>
      </c>
    </row>
    <row r="12" spans="1:2">
      <c r="A12" t="s">
        <v>178</v>
      </c>
      <c r="B12" s="41">
        <f>MCF!B10</f>
        <v>0.5</v>
      </c>
    </row>
    <row r="13" spans="1:2">
      <c r="A13" t="s">
        <v>255</v>
      </c>
      <c r="B13" s="41">
        <v>0.89</v>
      </c>
    </row>
    <row r="14" spans="1:2">
      <c r="A14" s="2" t="s">
        <v>195</v>
      </c>
      <c r="B14" s="41">
        <f>MCF!B2</f>
        <v>0.1</v>
      </c>
    </row>
    <row r="15" spans="1:2">
      <c r="A15" t="s">
        <v>211</v>
      </c>
      <c r="B15" s="41">
        <f>MCF!B2</f>
        <v>0.1</v>
      </c>
    </row>
    <row r="16" spans="1:2">
      <c r="A16" t="s">
        <v>221</v>
      </c>
      <c r="B16" s="41">
        <f>MCF!B2</f>
        <v>0.1</v>
      </c>
    </row>
    <row r="17" spans="1:2">
      <c r="A17" t="s">
        <v>227</v>
      </c>
      <c r="B17" s="41">
        <f>MCF!B5</f>
        <v>0.3</v>
      </c>
    </row>
    <row r="18" spans="1:2">
      <c r="A18" t="s">
        <v>241</v>
      </c>
      <c r="B18" s="41">
        <f>MCF!B6</f>
        <v>0.8</v>
      </c>
    </row>
    <row r="19" spans="1:2">
      <c r="A19" t="s">
        <v>246</v>
      </c>
      <c r="B19" s="41">
        <v>0.9</v>
      </c>
    </row>
    <row r="20" spans="1:2">
      <c r="A20" t="s">
        <v>263</v>
      </c>
      <c r="B20" s="41">
        <v>0.9</v>
      </c>
    </row>
    <row r="21" spans="1:2">
      <c r="A21" t="s">
        <v>318</v>
      </c>
      <c r="B21" s="41">
        <v>0.9</v>
      </c>
    </row>
    <row r="22" spans="1:2">
      <c r="A22" t="s">
        <v>867</v>
      </c>
      <c r="B22" s="41">
        <v>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B29DC-2034-4EE4-B8A6-1E0FDA57E8CD}">
  <dimension ref="A1:B481"/>
  <sheetViews>
    <sheetView topLeftCell="A28" workbookViewId="0">
      <selection activeCell="B2" sqref="B2"/>
    </sheetView>
  </sheetViews>
  <sheetFormatPr defaultColWidth="8.85546875" defaultRowHeight="15"/>
  <cols>
    <col min="1" max="1" width="53.28515625" bestFit="1" customWidth="1"/>
    <col min="2" max="2" width="150.5703125" customWidth="1"/>
  </cols>
  <sheetData>
    <row r="1" spans="1:2">
      <c r="A1" s="239" t="s">
        <v>868</v>
      </c>
      <c r="B1" s="240" t="s">
        <v>869</v>
      </c>
    </row>
    <row r="2" spans="1:2">
      <c r="A2" t="s">
        <v>870</v>
      </c>
      <c r="B2" t="s">
        <v>871</v>
      </c>
    </row>
    <row r="3" spans="1:2">
      <c r="A3" t="s">
        <v>37</v>
      </c>
      <c r="B3" t="s">
        <v>872</v>
      </c>
    </row>
    <row r="4" spans="1:2">
      <c r="A4" t="s">
        <v>873</v>
      </c>
      <c r="B4" t="s">
        <v>874</v>
      </c>
    </row>
    <row r="5" spans="1:2">
      <c r="A5" t="s">
        <v>44</v>
      </c>
      <c r="B5" t="s">
        <v>875</v>
      </c>
    </row>
    <row r="6" spans="1:2">
      <c r="A6" t="s">
        <v>57</v>
      </c>
      <c r="B6" t="s">
        <v>876</v>
      </c>
    </row>
    <row r="7" spans="1:2">
      <c r="A7" t="s">
        <v>48</v>
      </c>
      <c r="B7" t="s">
        <v>877</v>
      </c>
    </row>
    <row r="8" spans="1:2">
      <c r="A8" t="s">
        <v>878</v>
      </c>
      <c r="B8" t="s">
        <v>879</v>
      </c>
    </row>
    <row r="9" spans="1:2">
      <c r="A9" t="s">
        <v>880</v>
      </c>
      <c r="B9" t="s">
        <v>881</v>
      </c>
    </row>
    <row r="10" spans="1:2">
      <c r="A10" t="s">
        <v>882</v>
      </c>
      <c r="B10" t="s">
        <v>883</v>
      </c>
    </row>
    <row r="11" spans="1:2">
      <c r="A11" t="s">
        <v>884</v>
      </c>
      <c r="B11" t="s">
        <v>885</v>
      </c>
    </row>
    <row r="12" spans="1:2">
      <c r="A12" t="s">
        <v>886</v>
      </c>
      <c r="B12" t="s">
        <v>887</v>
      </c>
    </row>
    <row r="13" spans="1:2">
      <c r="A13" t="s">
        <v>888</v>
      </c>
      <c r="B13" t="s">
        <v>889</v>
      </c>
    </row>
    <row r="14" spans="1:2">
      <c r="A14" t="s">
        <v>890</v>
      </c>
      <c r="B14" t="s">
        <v>891</v>
      </c>
    </row>
    <row r="15" spans="1:2">
      <c r="A15" t="s">
        <v>892</v>
      </c>
      <c r="B15" t="s">
        <v>893</v>
      </c>
    </row>
    <row r="16" spans="1:2">
      <c r="A16" t="s">
        <v>894</v>
      </c>
      <c r="B16" t="s">
        <v>895</v>
      </c>
    </row>
    <row r="17" spans="1:2">
      <c r="A17" t="s">
        <v>896</v>
      </c>
      <c r="B17" t="s">
        <v>897</v>
      </c>
    </row>
    <row r="18" spans="1:2">
      <c r="A18" t="s">
        <v>898</v>
      </c>
      <c r="B18" t="s">
        <v>899</v>
      </c>
    </row>
    <row r="19" spans="1:2">
      <c r="A19" t="s">
        <v>16</v>
      </c>
      <c r="B19" t="s">
        <v>900</v>
      </c>
    </row>
    <row r="20" spans="1:2">
      <c r="A20" t="s">
        <v>19</v>
      </c>
      <c r="B20" t="s">
        <v>901</v>
      </c>
    </row>
    <row r="21" spans="1:2">
      <c r="A21" t="s">
        <v>24</v>
      </c>
      <c r="B21" t="s">
        <v>902</v>
      </c>
    </row>
    <row r="22" spans="1:2">
      <c r="A22" t="s">
        <v>903</v>
      </c>
      <c r="B22" t="s">
        <v>904</v>
      </c>
    </row>
    <row r="23" spans="1:2">
      <c r="A23" t="s">
        <v>905</v>
      </c>
      <c r="B23" t="s">
        <v>906</v>
      </c>
    </row>
    <row r="24" spans="1:2">
      <c r="A24" t="s">
        <v>907</v>
      </c>
      <c r="B24" t="s">
        <v>908</v>
      </c>
    </row>
    <row r="25" spans="1:2">
      <c r="A25" t="s">
        <v>909</v>
      </c>
      <c r="B25" t="s">
        <v>910</v>
      </c>
    </row>
    <row r="26" spans="1:2">
      <c r="A26" t="s">
        <v>911</v>
      </c>
      <c r="B26" t="s">
        <v>912</v>
      </c>
    </row>
    <row r="27" spans="1:2">
      <c r="A27" t="s">
        <v>913</v>
      </c>
      <c r="B27" t="s">
        <v>914</v>
      </c>
    </row>
    <row r="28" spans="1:2">
      <c r="A28" t="s">
        <v>915</v>
      </c>
      <c r="B28" t="s">
        <v>916</v>
      </c>
    </row>
    <row r="29" spans="1:2">
      <c r="A29" t="s">
        <v>917</v>
      </c>
      <c r="B29" t="s">
        <v>918</v>
      </c>
    </row>
    <row r="30" spans="1:2">
      <c r="A30" t="s">
        <v>919</v>
      </c>
      <c r="B30" t="s">
        <v>920</v>
      </c>
    </row>
    <row r="31" spans="1:2">
      <c r="A31" t="s">
        <v>921</v>
      </c>
      <c r="B31" t="s">
        <v>922</v>
      </c>
    </row>
    <row r="32" spans="1:2">
      <c r="A32" t="s">
        <v>923</v>
      </c>
      <c r="B32" t="s">
        <v>924</v>
      </c>
    </row>
    <row r="33" spans="1:2">
      <c r="A33" t="s">
        <v>925</v>
      </c>
      <c r="B33" t="s">
        <v>926</v>
      </c>
    </row>
    <row r="34" spans="1:2">
      <c r="A34" s="199" t="s">
        <v>927</v>
      </c>
      <c r="B34" t="s">
        <v>928</v>
      </c>
    </row>
    <row r="35" spans="1:2">
      <c r="A35" s="199" t="s">
        <v>929</v>
      </c>
      <c r="B35" t="s">
        <v>930</v>
      </c>
    </row>
    <row r="36" spans="1:2">
      <c r="A36" s="199" t="s">
        <v>931</v>
      </c>
      <c r="B36" t="s">
        <v>932</v>
      </c>
    </row>
    <row r="37" spans="1:2">
      <c r="A37" s="199" t="s">
        <v>933</v>
      </c>
      <c r="B37" t="s">
        <v>934</v>
      </c>
    </row>
    <row r="38" spans="1:2">
      <c r="A38" s="199" t="s">
        <v>935</v>
      </c>
      <c r="B38" t="s">
        <v>936</v>
      </c>
    </row>
    <row r="39" spans="1:2">
      <c r="A39" s="199" t="s">
        <v>937</v>
      </c>
      <c r="B39" t="s">
        <v>938</v>
      </c>
    </row>
    <row r="40" spans="1:2">
      <c r="A40" t="s">
        <v>939</v>
      </c>
      <c r="B40" t="s">
        <v>940</v>
      </c>
    </row>
    <row r="41" spans="1:2">
      <c r="A41" t="s">
        <v>941</v>
      </c>
      <c r="B41" t="s">
        <v>942</v>
      </c>
    </row>
    <row r="42" spans="1:2">
      <c r="A42" t="s">
        <v>943</v>
      </c>
      <c r="B42" t="s">
        <v>944</v>
      </c>
    </row>
    <row r="43" spans="1:2">
      <c r="A43" t="s">
        <v>945</v>
      </c>
      <c r="B43" t="s">
        <v>946</v>
      </c>
    </row>
    <row r="44" spans="1:2">
      <c r="A44" t="s">
        <v>947</v>
      </c>
      <c r="B44" t="s">
        <v>948</v>
      </c>
    </row>
    <row r="45" spans="1:2">
      <c r="A45" t="s">
        <v>949</v>
      </c>
      <c r="B45" t="s">
        <v>950</v>
      </c>
    </row>
    <row r="46" spans="1:2">
      <c r="A46" t="s">
        <v>951</v>
      </c>
      <c r="B46" t="s">
        <v>952</v>
      </c>
    </row>
    <row r="47" spans="1:2">
      <c r="A47" t="s">
        <v>953</v>
      </c>
      <c r="B47" t="s">
        <v>954</v>
      </c>
    </row>
    <row r="48" spans="1:2">
      <c r="A48" t="s">
        <v>955</v>
      </c>
      <c r="B48" t="s">
        <v>956</v>
      </c>
    </row>
    <row r="49" spans="1:2">
      <c r="A49" t="s">
        <v>957</v>
      </c>
      <c r="B49" t="s">
        <v>958</v>
      </c>
    </row>
    <row r="50" spans="1:2">
      <c r="A50" t="s">
        <v>959</v>
      </c>
      <c r="B50" t="s">
        <v>960</v>
      </c>
    </row>
    <row r="51" spans="1:2">
      <c r="A51" t="s">
        <v>961</v>
      </c>
      <c r="B51" t="s">
        <v>962</v>
      </c>
    </row>
    <row r="52" spans="1:2">
      <c r="A52" t="s">
        <v>963</v>
      </c>
      <c r="B52" t="s">
        <v>964</v>
      </c>
    </row>
    <row r="53" spans="1:2">
      <c r="A53" t="s">
        <v>965</v>
      </c>
      <c r="B53" t="s">
        <v>966</v>
      </c>
    </row>
    <row r="54" spans="1:2">
      <c r="A54" t="s">
        <v>967</v>
      </c>
      <c r="B54" t="s">
        <v>968</v>
      </c>
    </row>
    <row r="55" spans="1:2">
      <c r="A55" t="s">
        <v>969</v>
      </c>
      <c r="B55" t="s">
        <v>970</v>
      </c>
    </row>
    <row r="56" spans="1:2">
      <c r="A56" t="s">
        <v>971</v>
      </c>
      <c r="B56" t="s">
        <v>972</v>
      </c>
    </row>
    <row r="57" spans="1:2">
      <c r="A57" t="s">
        <v>973</v>
      </c>
      <c r="B57" t="s">
        <v>974</v>
      </c>
    </row>
    <row r="58" spans="1:2">
      <c r="A58" t="s">
        <v>975</v>
      </c>
      <c r="B58" t="s">
        <v>976</v>
      </c>
    </row>
    <row r="59" spans="1:2">
      <c r="A59" t="s">
        <v>977</v>
      </c>
      <c r="B59" t="s">
        <v>978</v>
      </c>
    </row>
    <row r="60" spans="1:2">
      <c r="A60" t="s">
        <v>979</v>
      </c>
      <c r="B60" t="s">
        <v>980</v>
      </c>
    </row>
    <row r="61" spans="1:2">
      <c r="A61" t="s">
        <v>981</v>
      </c>
      <c r="B61" t="s">
        <v>982</v>
      </c>
    </row>
    <row r="62" spans="1:2">
      <c r="A62" t="s">
        <v>983</v>
      </c>
      <c r="B62" t="s">
        <v>984</v>
      </c>
    </row>
    <row r="63" spans="1:2">
      <c r="A63" t="s">
        <v>985</v>
      </c>
      <c r="B63" t="s">
        <v>986</v>
      </c>
    </row>
    <row r="64" spans="1:2">
      <c r="A64" t="s">
        <v>987</v>
      </c>
      <c r="B64" t="s">
        <v>988</v>
      </c>
    </row>
    <row r="65" spans="1:2">
      <c r="A65" t="s">
        <v>989</v>
      </c>
      <c r="B65" t="s">
        <v>990</v>
      </c>
    </row>
    <row r="66" spans="1:2">
      <c r="A66" t="s">
        <v>991</v>
      </c>
      <c r="B66" t="s">
        <v>992</v>
      </c>
    </row>
    <row r="67" spans="1:2">
      <c r="A67" t="s">
        <v>993</v>
      </c>
      <c r="B67" t="s">
        <v>994</v>
      </c>
    </row>
    <row r="68" spans="1:2">
      <c r="A68" t="s">
        <v>995</v>
      </c>
      <c r="B68" t="s">
        <v>996</v>
      </c>
    </row>
    <row r="69" spans="1:2">
      <c r="A69" t="s">
        <v>997</v>
      </c>
      <c r="B69" t="s">
        <v>998</v>
      </c>
    </row>
    <row r="70" spans="1:2">
      <c r="A70" t="s">
        <v>999</v>
      </c>
      <c r="B70" t="s">
        <v>1000</v>
      </c>
    </row>
    <row r="71" spans="1:2">
      <c r="A71" t="s">
        <v>1001</v>
      </c>
      <c r="B71" t="s">
        <v>1002</v>
      </c>
    </row>
    <row r="72" spans="1:2">
      <c r="A72" t="s">
        <v>1003</v>
      </c>
      <c r="B72" t="s">
        <v>1004</v>
      </c>
    </row>
    <row r="73" spans="1:2">
      <c r="A73" t="s">
        <v>1005</v>
      </c>
      <c r="B73" t="s">
        <v>1006</v>
      </c>
    </row>
    <row r="74" spans="1:2">
      <c r="A74" t="s">
        <v>1007</v>
      </c>
      <c r="B74" t="s">
        <v>1008</v>
      </c>
    </row>
    <row r="75" spans="1:2">
      <c r="A75" t="s">
        <v>1009</v>
      </c>
      <c r="B75" t="s">
        <v>1010</v>
      </c>
    </row>
    <row r="76" spans="1:2">
      <c r="A76" t="s">
        <v>1011</v>
      </c>
      <c r="B76" t="s">
        <v>1012</v>
      </c>
    </row>
    <row r="77" spans="1:2">
      <c r="A77" t="s">
        <v>1013</v>
      </c>
      <c r="B77" t="s">
        <v>1014</v>
      </c>
    </row>
    <row r="78" spans="1:2">
      <c r="A78" t="s">
        <v>1015</v>
      </c>
      <c r="B78" t="s">
        <v>1016</v>
      </c>
    </row>
    <row r="79" spans="1:2">
      <c r="A79" t="s">
        <v>1017</v>
      </c>
      <c r="B79" t="s">
        <v>1018</v>
      </c>
    </row>
    <row r="80" spans="1:2">
      <c r="A80" t="s">
        <v>1019</v>
      </c>
      <c r="B80" t="s">
        <v>1020</v>
      </c>
    </row>
    <row r="81" spans="1:2">
      <c r="A81" t="s">
        <v>1021</v>
      </c>
      <c r="B81" t="s">
        <v>1022</v>
      </c>
    </row>
    <row r="82" spans="1:2">
      <c r="A82" t="s">
        <v>1023</v>
      </c>
      <c r="B82" t="s">
        <v>1024</v>
      </c>
    </row>
    <row r="83" spans="1:2">
      <c r="A83" t="s">
        <v>1025</v>
      </c>
      <c r="B83" t="s">
        <v>1026</v>
      </c>
    </row>
    <row r="84" spans="1:2">
      <c r="A84" t="s">
        <v>1027</v>
      </c>
      <c r="B84" t="s">
        <v>1028</v>
      </c>
    </row>
    <row r="85" spans="1:2">
      <c r="A85" t="s">
        <v>1029</v>
      </c>
      <c r="B85" t="s">
        <v>1030</v>
      </c>
    </row>
    <row r="86" spans="1:2">
      <c r="A86" t="s">
        <v>1031</v>
      </c>
      <c r="B86" t="s">
        <v>1032</v>
      </c>
    </row>
    <row r="87" spans="1:2">
      <c r="A87" t="s">
        <v>81</v>
      </c>
      <c r="B87" t="s">
        <v>1033</v>
      </c>
    </row>
    <row r="88" spans="1:2">
      <c r="A88" t="s">
        <v>1034</v>
      </c>
      <c r="B88" t="s">
        <v>1035</v>
      </c>
    </row>
    <row r="89" spans="1:2">
      <c r="A89" t="s">
        <v>1036</v>
      </c>
      <c r="B89" t="s">
        <v>1037</v>
      </c>
    </row>
    <row r="90" spans="1:2">
      <c r="A90" t="s">
        <v>1038</v>
      </c>
      <c r="B90" t="s">
        <v>1039</v>
      </c>
    </row>
    <row r="91" spans="1:2">
      <c r="A91" t="s">
        <v>1040</v>
      </c>
      <c r="B91" t="s">
        <v>1041</v>
      </c>
    </row>
    <row r="92" spans="1:2">
      <c r="A92" t="s">
        <v>1042</v>
      </c>
      <c r="B92" t="s">
        <v>1043</v>
      </c>
    </row>
    <row r="93" spans="1:2">
      <c r="A93" t="s">
        <v>1044</v>
      </c>
      <c r="B93" t="s">
        <v>1045</v>
      </c>
    </row>
    <row r="94" spans="1:2">
      <c r="A94" t="s">
        <v>1046</v>
      </c>
      <c r="B94" t="s">
        <v>1047</v>
      </c>
    </row>
    <row r="95" spans="1:2">
      <c r="A95" t="s">
        <v>1048</v>
      </c>
      <c r="B95" t="s">
        <v>1049</v>
      </c>
    </row>
    <row r="96" spans="1:2">
      <c r="A96" t="s">
        <v>1050</v>
      </c>
      <c r="B96" t="s">
        <v>1051</v>
      </c>
    </row>
    <row r="97" spans="1:2">
      <c r="A97" t="s">
        <v>1052</v>
      </c>
      <c r="B97" t="s">
        <v>1053</v>
      </c>
    </row>
    <row r="98" spans="1:2">
      <c r="A98" t="s">
        <v>1054</v>
      </c>
      <c r="B98" t="s">
        <v>1055</v>
      </c>
    </row>
    <row r="99" spans="1:2">
      <c r="A99" t="s">
        <v>1056</v>
      </c>
      <c r="B99" t="s">
        <v>1057</v>
      </c>
    </row>
    <row r="100" spans="1:2">
      <c r="A100" t="s">
        <v>1058</v>
      </c>
      <c r="B100" t="s">
        <v>1059</v>
      </c>
    </row>
    <row r="101" spans="1:2">
      <c r="A101" t="s">
        <v>1060</v>
      </c>
      <c r="B101" t="s">
        <v>1061</v>
      </c>
    </row>
    <row r="102" spans="1:2">
      <c r="A102" t="s">
        <v>1062</v>
      </c>
      <c r="B102" t="s">
        <v>1063</v>
      </c>
    </row>
    <row r="103" spans="1:2">
      <c r="A103" t="s">
        <v>1064</v>
      </c>
      <c r="B103" t="s">
        <v>1065</v>
      </c>
    </row>
    <row r="104" spans="1:2">
      <c r="A104" t="s">
        <v>1066</v>
      </c>
      <c r="B104" t="s">
        <v>1067</v>
      </c>
    </row>
    <row r="105" spans="1:2">
      <c r="A105" t="s">
        <v>1068</v>
      </c>
      <c r="B105" t="s">
        <v>1069</v>
      </c>
    </row>
    <row r="106" spans="1:2">
      <c r="A106" t="s">
        <v>1070</v>
      </c>
      <c r="B106" t="s">
        <v>1071</v>
      </c>
    </row>
    <row r="107" spans="1:2">
      <c r="A107" t="s">
        <v>1072</v>
      </c>
      <c r="B107" t="s">
        <v>1073</v>
      </c>
    </row>
    <row r="108" spans="1:2">
      <c r="A108" t="s">
        <v>1074</v>
      </c>
      <c r="B108" t="s">
        <v>1075</v>
      </c>
    </row>
    <row r="109" spans="1:2">
      <c r="A109" t="s">
        <v>1076</v>
      </c>
      <c r="B109" t="s">
        <v>1077</v>
      </c>
    </row>
    <row r="110" spans="1:2">
      <c r="A110" t="s">
        <v>1078</v>
      </c>
      <c r="B110" t="s">
        <v>1079</v>
      </c>
    </row>
    <row r="111" spans="1:2">
      <c r="A111" t="s">
        <v>1080</v>
      </c>
      <c r="B111" t="s">
        <v>1081</v>
      </c>
    </row>
    <row r="112" spans="1:2">
      <c r="A112" t="s">
        <v>1082</v>
      </c>
      <c r="B112" t="s">
        <v>1083</v>
      </c>
    </row>
    <row r="113" spans="1:2">
      <c r="A113" t="s">
        <v>1084</v>
      </c>
      <c r="B113" t="s">
        <v>1085</v>
      </c>
    </row>
    <row r="114" spans="1:2">
      <c r="A114" t="s">
        <v>1086</v>
      </c>
      <c r="B114" t="s">
        <v>1087</v>
      </c>
    </row>
    <row r="115" spans="1:2">
      <c r="A115" t="s">
        <v>1088</v>
      </c>
      <c r="B115" t="s">
        <v>1089</v>
      </c>
    </row>
    <row r="116" spans="1:2">
      <c r="A116" t="s">
        <v>1090</v>
      </c>
      <c r="B116" t="s">
        <v>1091</v>
      </c>
    </row>
    <row r="117" spans="1:2">
      <c r="A117" t="s">
        <v>1092</v>
      </c>
      <c r="B117" t="s">
        <v>1093</v>
      </c>
    </row>
    <row r="118" spans="1:2">
      <c r="A118" t="s">
        <v>1094</v>
      </c>
      <c r="B118" t="s">
        <v>1095</v>
      </c>
    </row>
    <row r="119" spans="1:2">
      <c r="A119" t="s">
        <v>1096</v>
      </c>
      <c r="B119" t="s">
        <v>1097</v>
      </c>
    </row>
    <row r="120" spans="1:2">
      <c r="A120" t="s">
        <v>1098</v>
      </c>
      <c r="B120" t="s">
        <v>1099</v>
      </c>
    </row>
    <row r="121" spans="1:2">
      <c r="A121" t="s">
        <v>1100</v>
      </c>
      <c r="B121" t="s">
        <v>1101</v>
      </c>
    </row>
    <row r="122" spans="1:2">
      <c r="A122" t="s">
        <v>1102</v>
      </c>
      <c r="B122" t="s">
        <v>1103</v>
      </c>
    </row>
    <row r="123" spans="1:2">
      <c r="A123" t="s">
        <v>1104</v>
      </c>
      <c r="B123" t="s">
        <v>1105</v>
      </c>
    </row>
    <row r="124" spans="1:2">
      <c r="A124" t="s">
        <v>1106</v>
      </c>
      <c r="B124" t="s">
        <v>1107</v>
      </c>
    </row>
    <row r="125" spans="1:2">
      <c r="A125" t="s">
        <v>1108</v>
      </c>
      <c r="B125" t="s">
        <v>1109</v>
      </c>
    </row>
    <row r="126" spans="1:2">
      <c r="A126" t="s">
        <v>1110</v>
      </c>
      <c r="B126" t="s">
        <v>1111</v>
      </c>
    </row>
    <row r="127" spans="1:2">
      <c r="A127" t="s">
        <v>1112</v>
      </c>
      <c r="B127" t="s">
        <v>1113</v>
      </c>
    </row>
    <row r="128" spans="1:2">
      <c r="A128" t="s">
        <v>1114</v>
      </c>
      <c r="B128" t="s">
        <v>1115</v>
      </c>
    </row>
    <row r="129" spans="1:2">
      <c r="A129" t="s">
        <v>29</v>
      </c>
      <c r="B129" t="s">
        <v>1116</v>
      </c>
    </row>
    <row r="130" spans="1:2">
      <c r="A130" t="s">
        <v>27</v>
      </c>
      <c r="B130" t="s">
        <v>1117</v>
      </c>
    </row>
    <row r="131" spans="1:2">
      <c r="A131" t="s">
        <v>31</v>
      </c>
      <c r="B131" t="s">
        <v>1118</v>
      </c>
    </row>
    <row r="132" spans="1:2">
      <c r="A132" t="s">
        <v>1119</v>
      </c>
      <c r="B132" t="s">
        <v>1120</v>
      </c>
    </row>
    <row r="133" spans="1:2">
      <c r="A133" t="s">
        <v>1121</v>
      </c>
      <c r="B133" t="s">
        <v>1122</v>
      </c>
    </row>
    <row r="134" spans="1:2">
      <c r="A134" t="s">
        <v>1123</v>
      </c>
      <c r="B134" t="s">
        <v>1124</v>
      </c>
    </row>
    <row r="135" spans="1:2">
      <c r="A135" t="s">
        <v>1125</v>
      </c>
      <c r="B135" t="s">
        <v>1126</v>
      </c>
    </row>
    <row r="136" spans="1:2">
      <c r="A136" t="s">
        <v>1127</v>
      </c>
      <c r="B136" t="s">
        <v>1128</v>
      </c>
    </row>
    <row r="137" spans="1:2">
      <c r="A137" t="s">
        <v>284</v>
      </c>
      <c r="B137" t="s">
        <v>1129</v>
      </c>
    </row>
    <row r="138" spans="1:2">
      <c r="A138" t="s">
        <v>1130</v>
      </c>
      <c r="B138" t="s">
        <v>1131</v>
      </c>
    </row>
    <row r="139" spans="1:2">
      <c r="A139" t="s">
        <v>1132</v>
      </c>
      <c r="B139" t="s">
        <v>1133</v>
      </c>
    </row>
    <row r="140" spans="1:2">
      <c r="A140" t="s">
        <v>1134</v>
      </c>
      <c r="B140" t="s">
        <v>1135</v>
      </c>
    </row>
    <row r="141" spans="1:2">
      <c r="A141" t="s">
        <v>1136</v>
      </c>
      <c r="B141" t="s">
        <v>1137</v>
      </c>
    </row>
    <row r="142" spans="1:2">
      <c r="A142" t="s">
        <v>1138</v>
      </c>
      <c r="B142" t="s">
        <v>1139</v>
      </c>
    </row>
    <row r="143" spans="1:2">
      <c r="A143" t="s">
        <v>1140</v>
      </c>
      <c r="B143" t="s">
        <v>1141</v>
      </c>
    </row>
    <row r="144" spans="1:2">
      <c r="A144" t="s">
        <v>1142</v>
      </c>
      <c r="B144" t="s">
        <v>1143</v>
      </c>
    </row>
    <row r="145" spans="1:2">
      <c r="A145" t="s">
        <v>1144</v>
      </c>
      <c r="B145" t="s">
        <v>1145</v>
      </c>
    </row>
    <row r="146" spans="1:2">
      <c r="A146" t="s">
        <v>288</v>
      </c>
      <c r="B146" t="s">
        <v>1146</v>
      </c>
    </row>
    <row r="147" spans="1:2">
      <c r="A147" t="s">
        <v>291</v>
      </c>
      <c r="B147" t="s">
        <v>1147</v>
      </c>
    </row>
    <row r="148" spans="1:2">
      <c r="A148" t="s">
        <v>1148</v>
      </c>
      <c r="B148" t="s">
        <v>1149</v>
      </c>
    </row>
    <row r="149" spans="1:2">
      <c r="A149" t="s">
        <v>1150</v>
      </c>
      <c r="B149" t="s">
        <v>1151</v>
      </c>
    </row>
    <row r="150" spans="1:2">
      <c r="A150" t="s">
        <v>1152</v>
      </c>
      <c r="B150" t="s">
        <v>1153</v>
      </c>
    </row>
    <row r="151" spans="1:2">
      <c r="A151" t="s">
        <v>1154</v>
      </c>
      <c r="B151" t="s">
        <v>1155</v>
      </c>
    </row>
    <row r="152" spans="1:2">
      <c r="A152" t="s">
        <v>1156</v>
      </c>
      <c r="B152" t="s">
        <v>1157</v>
      </c>
    </row>
    <row r="153" spans="1:2">
      <c r="A153" t="s">
        <v>1158</v>
      </c>
      <c r="B153" t="s">
        <v>1159</v>
      </c>
    </row>
    <row r="154" spans="1:2">
      <c r="A154" t="s">
        <v>1160</v>
      </c>
      <c r="B154" t="s">
        <v>1161</v>
      </c>
    </row>
    <row r="155" spans="1:2">
      <c r="A155" t="s">
        <v>1162</v>
      </c>
      <c r="B155" t="s">
        <v>1163</v>
      </c>
    </row>
    <row r="156" spans="1:2">
      <c r="A156" t="s">
        <v>1164</v>
      </c>
      <c r="B156" t="s">
        <v>1165</v>
      </c>
    </row>
    <row r="157" spans="1:2">
      <c r="A157" t="s">
        <v>1166</v>
      </c>
      <c r="B157" t="s">
        <v>1167</v>
      </c>
    </row>
    <row r="158" spans="1:2">
      <c r="A158" t="s">
        <v>1168</v>
      </c>
      <c r="B158" t="s">
        <v>1169</v>
      </c>
    </row>
    <row r="159" spans="1:2">
      <c r="A159" t="s">
        <v>1170</v>
      </c>
      <c r="B159" t="s">
        <v>1171</v>
      </c>
    </row>
    <row r="160" spans="1:2">
      <c r="A160" t="s">
        <v>1172</v>
      </c>
      <c r="B160" t="s">
        <v>1173</v>
      </c>
    </row>
    <row r="161" spans="1:2">
      <c r="A161" t="s">
        <v>1174</v>
      </c>
      <c r="B161" t="s">
        <v>1175</v>
      </c>
    </row>
    <row r="162" spans="1:2">
      <c r="A162" t="s">
        <v>1176</v>
      </c>
      <c r="B162" t="s">
        <v>1177</v>
      </c>
    </row>
    <row r="163" spans="1:2">
      <c r="A163" t="s">
        <v>1178</v>
      </c>
      <c r="B163" t="s">
        <v>1179</v>
      </c>
    </row>
    <row r="164" spans="1:2">
      <c r="A164" t="s">
        <v>1180</v>
      </c>
      <c r="B164" t="s">
        <v>1181</v>
      </c>
    </row>
    <row r="165" spans="1:2">
      <c r="A165" t="s">
        <v>1182</v>
      </c>
      <c r="B165" t="s">
        <v>1183</v>
      </c>
    </row>
    <row r="166" spans="1:2">
      <c r="A166" t="s">
        <v>1184</v>
      </c>
      <c r="B166" t="s">
        <v>1185</v>
      </c>
    </row>
    <row r="167" spans="1:2">
      <c r="A167" t="s">
        <v>1186</v>
      </c>
      <c r="B167" t="s">
        <v>1187</v>
      </c>
    </row>
    <row r="168" spans="1:2">
      <c r="A168" t="s">
        <v>1188</v>
      </c>
      <c r="B168" t="s">
        <v>1189</v>
      </c>
    </row>
    <row r="169" spans="1:2">
      <c r="A169" t="s">
        <v>1190</v>
      </c>
      <c r="B169" t="s">
        <v>1191</v>
      </c>
    </row>
    <row r="170" spans="1:2">
      <c r="A170" t="s">
        <v>1192</v>
      </c>
      <c r="B170" t="s">
        <v>1193</v>
      </c>
    </row>
    <row r="171" spans="1:2">
      <c r="A171" t="s">
        <v>1194</v>
      </c>
      <c r="B171" t="s">
        <v>69</v>
      </c>
    </row>
    <row r="172" spans="1:2">
      <c r="A172" t="s">
        <v>1195</v>
      </c>
      <c r="B172" t="s">
        <v>1196</v>
      </c>
    </row>
    <row r="173" spans="1:2">
      <c r="A173" t="s">
        <v>1197</v>
      </c>
      <c r="B173" t="s">
        <v>1198</v>
      </c>
    </row>
    <row r="174" spans="1:2">
      <c r="A174" t="s">
        <v>1199</v>
      </c>
      <c r="B174" t="s">
        <v>1200</v>
      </c>
    </row>
    <row r="175" spans="1:2">
      <c r="A175" t="s">
        <v>1201</v>
      </c>
      <c r="B175" t="s">
        <v>1202</v>
      </c>
    </row>
    <row r="176" spans="1:2">
      <c r="A176" t="s">
        <v>1203</v>
      </c>
      <c r="B176" t="s">
        <v>1204</v>
      </c>
    </row>
    <row r="177" spans="1:2">
      <c r="A177" t="s">
        <v>1205</v>
      </c>
      <c r="B177" t="s">
        <v>1206</v>
      </c>
    </row>
    <row r="178" spans="1:2">
      <c r="A178" t="s">
        <v>1207</v>
      </c>
      <c r="B178" t="s">
        <v>1208</v>
      </c>
    </row>
    <row r="179" spans="1:2">
      <c r="A179" t="s">
        <v>1209</v>
      </c>
      <c r="B179" t="s">
        <v>1210</v>
      </c>
    </row>
    <row r="180" spans="1:2">
      <c r="A180" t="s">
        <v>1211</v>
      </c>
      <c r="B180" t="s">
        <v>1212</v>
      </c>
    </row>
    <row r="181" spans="1:2">
      <c r="A181" t="s">
        <v>1213</v>
      </c>
      <c r="B181" t="s">
        <v>1214</v>
      </c>
    </row>
    <row r="182" spans="1:2">
      <c r="A182" t="s">
        <v>1215</v>
      </c>
      <c r="B182" t="s">
        <v>1216</v>
      </c>
    </row>
    <row r="183" spans="1:2">
      <c r="A183" t="s">
        <v>1217</v>
      </c>
      <c r="B183" t="s">
        <v>1218</v>
      </c>
    </row>
    <row r="184" spans="1:2">
      <c r="A184" t="s">
        <v>1219</v>
      </c>
      <c r="B184" t="s">
        <v>1220</v>
      </c>
    </row>
    <row r="185" spans="1:2">
      <c r="A185" t="s">
        <v>1221</v>
      </c>
      <c r="B185" t="s">
        <v>1222</v>
      </c>
    </row>
    <row r="186" spans="1:2">
      <c r="A186" t="s">
        <v>1223</v>
      </c>
      <c r="B186" t="s">
        <v>1224</v>
      </c>
    </row>
    <row r="187" spans="1:2">
      <c r="A187" t="s">
        <v>1225</v>
      </c>
      <c r="B187" t="s">
        <v>1226</v>
      </c>
    </row>
    <row r="188" spans="1:2">
      <c r="A188" t="s">
        <v>1227</v>
      </c>
      <c r="B188" t="s">
        <v>1228</v>
      </c>
    </row>
    <row r="189" spans="1:2">
      <c r="A189" t="s">
        <v>1229</v>
      </c>
      <c r="B189" t="s">
        <v>1230</v>
      </c>
    </row>
    <row r="190" spans="1:2">
      <c r="A190" t="s">
        <v>1231</v>
      </c>
      <c r="B190" t="s">
        <v>1232</v>
      </c>
    </row>
    <row r="191" spans="1:2">
      <c r="A191" t="s">
        <v>1233</v>
      </c>
      <c r="B191" t="s">
        <v>1234</v>
      </c>
    </row>
    <row r="192" spans="1:2">
      <c r="A192" t="s">
        <v>1235</v>
      </c>
      <c r="B192" t="s">
        <v>1236</v>
      </c>
    </row>
    <row r="193" spans="1:2">
      <c r="A193" t="s">
        <v>1237</v>
      </c>
      <c r="B193" t="s">
        <v>1238</v>
      </c>
    </row>
    <row r="194" spans="1:2">
      <c r="A194" t="s">
        <v>1239</v>
      </c>
      <c r="B194" t="s">
        <v>1240</v>
      </c>
    </row>
    <row r="195" spans="1:2">
      <c r="A195" t="s">
        <v>1241</v>
      </c>
      <c r="B195" t="s">
        <v>1242</v>
      </c>
    </row>
    <row r="196" spans="1:2">
      <c r="A196" t="s">
        <v>1243</v>
      </c>
      <c r="B196" t="s">
        <v>1244</v>
      </c>
    </row>
    <row r="197" spans="1:2">
      <c r="A197" t="s">
        <v>1245</v>
      </c>
      <c r="B197" t="s">
        <v>1246</v>
      </c>
    </row>
    <row r="198" spans="1:2">
      <c r="A198" t="s">
        <v>66</v>
      </c>
      <c r="B198" t="s">
        <v>1247</v>
      </c>
    </row>
    <row r="199" spans="1:2">
      <c r="A199" t="s">
        <v>1248</v>
      </c>
      <c r="B199" t="s">
        <v>1249</v>
      </c>
    </row>
    <row r="200" spans="1:2">
      <c r="A200" t="s">
        <v>1250</v>
      </c>
      <c r="B200" t="s">
        <v>1251</v>
      </c>
    </row>
    <row r="201" spans="1:2">
      <c r="A201" t="s">
        <v>1252</v>
      </c>
      <c r="B201" t="s">
        <v>1253</v>
      </c>
    </row>
    <row r="202" spans="1:2">
      <c r="A202" t="s">
        <v>1254</v>
      </c>
      <c r="B202" t="s">
        <v>1255</v>
      </c>
    </row>
    <row r="203" spans="1:2">
      <c r="A203" t="s">
        <v>1256</v>
      </c>
      <c r="B203" t="s">
        <v>1257</v>
      </c>
    </row>
    <row r="204" spans="1:2">
      <c r="A204" t="s">
        <v>1258</v>
      </c>
      <c r="B204" t="s">
        <v>1259</v>
      </c>
    </row>
    <row r="205" spans="1:2">
      <c r="A205" t="s">
        <v>1260</v>
      </c>
      <c r="B205" t="s">
        <v>1261</v>
      </c>
    </row>
    <row r="206" spans="1:2">
      <c r="A206" t="s">
        <v>1262</v>
      </c>
      <c r="B206" t="s">
        <v>1263</v>
      </c>
    </row>
    <row r="207" spans="1:2">
      <c r="A207" t="s">
        <v>1264</v>
      </c>
      <c r="B207" t="s">
        <v>1265</v>
      </c>
    </row>
    <row r="208" spans="1:2">
      <c r="A208" t="s">
        <v>1266</v>
      </c>
      <c r="B208" t="s">
        <v>1267</v>
      </c>
    </row>
    <row r="209" spans="1:2">
      <c r="A209" t="s">
        <v>1268</v>
      </c>
      <c r="B209" t="s">
        <v>1269</v>
      </c>
    </row>
    <row r="210" spans="1:2">
      <c r="A210" t="s">
        <v>1270</v>
      </c>
      <c r="B210" t="s">
        <v>1271</v>
      </c>
    </row>
    <row r="211" spans="1:2">
      <c r="A211" t="s">
        <v>1272</v>
      </c>
      <c r="B211" t="s">
        <v>1273</v>
      </c>
    </row>
    <row r="212" spans="1:2">
      <c r="A212" t="s">
        <v>1274</v>
      </c>
      <c r="B212" t="s">
        <v>1275</v>
      </c>
    </row>
    <row r="213" spans="1:2">
      <c r="A213" t="s">
        <v>1276</v>
      </c>
      <c r="B213" t="s">
        <v>1277</v>
      </c>
    </row>
    <row r="214" spans="1:2">
      <c r="A214" t="s">
        <v>1278</v>
      </c>
      <c r="B214" t="s">
        <v>1279</v>
      </c>
    </row>
    <row r="215" spans="1:2">
      <c r="A215" t="s">
        <v>1280</v>
      </c>
      <c r="B215" t="s">
        <v>1281</v>
      </c>
    </row>
    <row r="216" spans="1:2">
      <c r="A216" t="s">
        <v>1282</v>
      </c>
      <c r="B216" t="s">
        <v>1283</v>
      </c>
    </row>
    <row r="217" spans="1:2">
      <c r="A217" t="s">
        <v>1284</v>
      </c>
      <c r="B217" t="s">
        <v>1285</v>
      </c>
    </row>
    <row r="218" spans="1:2">
      <c r="A218" t="s">
        <v>1286</v>
      </c>
      <c r="B218" t="s">
        <v>1287</v>
      </c>
    </row>
    <row r="219" spans="1:2">
      <c r="A219" t="s">
        <v>1288</v>
      </c>
      <c r="B219" t="s">
        <v>1289</v>
      </c>
    </row>
    <row r="220" spans="1:2">
      <c r="A220" t="s">
        <v>1290</v>
      </c>
      <c r="B220" t="s">
        <v>1291</v>
      </c>
    </row>
    <row r="221" spans="1:2">
      <c r="A221" t="s">
        <v>1292</v>
      </c>
      <c r="B221" t="s">
        <v>1293</v>
      </c>
    </row>
    <row r="222" spans="1:2">
      <c r="A222" t="s">
        <v>1294</v>
      </c>
      <c r="B222" t="s">
        <v>1295</v>
      </c>
    </row>
    <row r="223" spans="1:2">
      <c r="A223" t="s">
        <v>1296</v>
      </c>
      <c r="B223" t="s">
        <v>1297</v>
      </c>
    </row>
    <row r="224" spans="1:2">
      <c r="A224" t="s">
        <v>1298</v>
      </c>
      <c r="B224" t="s">
        <v>1299</v>
      </c>
    </row>
    <row r="225" spans="1:2">
      <c r="A225" t="s">
        <v>1300</v>
      </c>
      <c r="B225" t="s">
        <v>1301</v>
      </c>
    </row>
    <row r="226" spans="1:2">
      <c r="A226" t="s">
        <v>1302</v>
      </c>
      <c r="B226" t="s">
        <v>1303</v>
      </c>
    </row>
    <row r="227" spans="1:2">
      <c r="A227" t="s">
        <v>1304</v>
      </c>
      <c r="B227" t="s">
        <v>1305</v>
      </c>
    </row>
    <row r="228" spans="1:2">
      <c r="A228" t="s">
        <v>1306</v>
      </c>
      <c r="B228" t="s">
        <v>1307</v>
      </c>
    </row>
    <row r="229" spans="1:2">
      <c r="A229" t="s">
        <v>1308</v>
      </c>
      <c r="B229" t="s">
        <v>1309</v>
      </c>
    </row>
    <row r="230" spans="1:2">
      <c r="A230" t="s">
        <v>1310</v>
      </c>
      <c r="B230" t="s">
        <v>1311</v>
      </c>
    </row>
    <row r="231" spans="1:2">
      <c r="A231" t="s">
        <v>1312</v>
      </c>
      <c r="B231" t="s">
        <v>1313</v>
      </c>
    </row>
    <row r="232" spans="1:2">
      <c r="A232" t="s">
        <v>1314</v>
      </c>
      <c r="B232" t="s">
        <v>1315</v>
      </c>
    </row>
    <row r="233" spans="1:2">
      <c r="A233" t="s">
        <v>1316</v>
      </c>
      <c r="B233" t="s">
        <v>1317</v>
      </c>
    </row>
    <row r="234" spans="1:2">
      <c r="A234" t="s">
        <v>1318</v>
      </c>
      <c r="B234" s="199" t="s">
        <v>1319</v>
      </c>
    </row>
    <row r="235" spans="1:2">
      <c r="A235" t="s">
        <v>1320</v>
      </c>
      <c r="B235" s="199" t="s">
        <v>1321</v>
      </c>
    </row>
    <row r="236" spans="1:2">
      <c r="A236" t="s">
        <v>1322</v>
      </c>
      <c r="B236" s="199" t="s">
        <v>1323</v>
      </c>
    </row>
    <row r="237" spans="1:2">
      <c r="A237" t="s">
        <v>1324</v>
      </c>
      <c r="B237" s="199" t="s">
        <v>1325</v>
      </c>
    </row>
    <row r="238" spans="1:2">
      <c r="A238" t="s">
        <v>1326</v>
      </c>
      <c r="B238" s="199" t="s">
        <v>1327</v>
      </c>
    </row>
    <row r="239" spans="1:2">
      <c r="A239" t="s">
        <v>1328</v>
      </c>
      <c r="B239" s="199" t="s">
        <v>1329</v>
      </c>
    </row>
    <row r="240" spans="1:2">
      <c r="A240" t="s">
        <v>1330</v>
      </c>
      <c r="B240" s="199" t="s">
        <v>1331</v>
      </c>
    </row>
    <row r="241" spans="1:2">
      <c r="A241" t="s">
        <v>1332</v>
      </c>
      <c r="B241" s="199" t="s">
        <v>1333</v>
      </c>
    </row>
    <row r="242" spans="1:2">
      <c r="A242" t="s">
        <v>1334</v>
      </c>
      <c r="B242" s="199" t="s">
        <v>1335</v>
      </c>
    </row>
    <row r="243" spans="1:2">
      <c r="A243" t="s">
        <v>1336</v>
      </c>
      <c r="B243" s="199" t="s">
        <v>1337</v>
      </c>
    </row>
    <row r="244" spans="1:2">
      <c r="A244" t="s">
        <v>1338</v>
      </c>
      <c r="B244" s="199" t="s">
        <v>1339</v>
      </c>
    </row>
    <row r="245" spans="1:2">
      <c r="A245" t="s">
        <v>1340</v>
      </c>
      <c r="B245" s="199" t="s">
        <v>1341</v>
      </c>
    </row>
    <row r="246" spans="1:2">
      <c r="A246" t="s">
        <v>1342</v>
      </c>
      <c r="B246" s="199" t="s">
        <v>1343</v>
      </c>
    </row>
    <row r="247" spans="1:2">
      <c r="A247" t="s">
        <v>1344</v>
      </c>
      <c r="B247" s="199" t="s">
        <v>1345</v>
      </c>
    </row>
    <row r="248" spans="1:2">
      <c r="A248" t="s">
        <v>1346</v>
      </c>
      <c r="B248" s="199" t="s">
        <v>1347</v>
      </c>
    </row>
    <row r="249" spans="1:2">
      <c r="A249" t="s">
        <v>1348</v>
      </c>
      <c r="B249" s="199" t="s">
        <v>1349</v>
      </c>
    </row>
    <row r="250" spans="1:2">
      <c r="A250" t="s">
        <v>1350</v>
      </c>
      <c r="B250" s="199" t="s">
        <v>1351</v>
      </c>
    </row>
    <row r="251" spans="1:2">
      <c r="A251" t="s">
        <v>1352</v>
      </c>
      <c r="B251" s="199" t="s">
        <v>1353</v>
      </c>
    </row>
    <row r="252" spans="1:2">
      <c r="A252" t="s">
        <v>1354</v>
      </c>
      <c r="B252" s="199" t="s">
        <v>1355</v>
      </c>
    </row>
    <row r="253" spans="1:2">
      <c r="A253" t="s">
        <v>1356</v>
      </c>
      <c r="B253" s="199" t="s">
        <v>1357</v>
      </c>
    </row>
    <row r="254" spans="1:2">
      <c r="A254" t="s">
        <v>1358</v>
      </c>
      <c r="B254" s="199" t="s">
        <v>1359</v>
      </c>
    </row>
    <row r="255" spans="1:2">
      <c r="A255" t="s">
        <v>1360</v>
      </c>
      <c r="B255" s="199" t="s">
        <v>1361</v>
      </c>
    </row>
    <row r="256" spans="1:2">
      <c r="A256" t="s">
        <v>1362</v>
      </c>
      <c r="B256" s="199" t="s">
        <v>1363</v>
      </c>
    </row>
    <row r="257" spans="1:2">
      <c r="A257" t="s">
        <v>1364</v>
      </c>
      <c r="B257" s="199" t="s">
        <v>1365</v>
      </c>
    </row>
    <row r="258" spans="1:2">
      <c r="A258" t="s">
        <v>1366</v>
      </c>
      <c r="B258" s="199" t="s">
        <v>1367</v>
      </c>
    </row>
    <row r="259" spans="1:2">
      <c r="A259" t="s">
        <v>1368</v>
      </c>
      <c r="B259" s="199" t="s">
        <v>1369</v>
      </c>
    </row>
    <row r="260" spans="1:2">
      <c r="A260" t="s">
        <v>1370</v>
      </c>
      <c r="B260" s="199" t="s">
        <v>1371</v>
      </c>
    </row>
    <row r="261" spans="1:2">
      <c r="A261" t="s">
        <v>1372</v>
      </c>
      <c r="B261" s="199" t="s">
        <v>1373</v>
      </c>
    </row>
    <row r="262" spans="1:2">
      <c r="A262" t="s">
        <v>1374</v>
      </c>
      <c r="B262" s="199" t="s">
        <v>1375</v>
      </c>
    </row>
    <row r="263" spans="1:2">
      <c r="A263" t="s">
        <v>1376</v>
      </c>
      <c r="B263" s="199" t="s">
        <v>1377</v>
      </c>
    </row>
    <row r="264" spans="1:2">
      <c r="A264" t="s">
        <v>1378</v>
      </c>
      <c r="B264" s="199" t="s">
        <v>1379</v>
      </c>
    </row>
    <row r="265" spans="1:2">
      <c r="A265" t="s">
        <v>1380</v>
      </c>
      <c r="B265" s="199" t="s">
        <v>1381</v>
      </c>
    </row>
    <row r="266" spans="1:2">
      <c r="A266" t="s">
        <v>1382</v>
      </c>
      <c r="B266" s="199" t="s">
        <v>1383</v>
      </c>
    </row>
    <row r="267" spans="1:2">
      <c r="A267" t="s">
        <v>1384</v>
      </c>
      <c r="B267" s="199" t="s">
        <v>1385</v>
      </c>
    </row>
    <row r="268" spans="1:2">
      <c r="A268" t="s">
        <v>1386</v>
      </c>
      <c r="B268" s="199" t="s">
        <v>1387</v>
      </c>
    </row>
    <row r="269" spans="1:2">
      <c r="A269" t="s">
        <v>1388</v>
      </c>
      <c r="B269" s="199" t="s">
        <v>1389</v>
      </c>
    </row>
    <row r="270" spans="1:2">
      <c r="A270" t="s">
        <v>1390</v>
      </c>
      <c r="B270" s="199" t="s">
        <v>1391</v>
      </c>
    </row>
    <row r="271" spans="1:2">
      <c r="A271" t="s">
        <v>1392</v>
      </c>
      <c r="B271" s="199" t="s">
        <v>1393</v>
      </c>
    </row>
    <row r="272" spans="1:2">
      <c r="A272" t="s">
        <v>1394</v>
      </c>
      <c r="B272" s="199" t="s">
        <v>1395</v>
      </c>
    </row>
    <row r="273" spans="1:2">
      <c r="A273" t="s">
        <v>1396</v>
      </c>
      <c r="B273" s="199" t="s">
        <v>1397</v>
      </c>
    </row>
    <row r="274" spans="1:2">
      <c r="A274" t="s">
        <v>1398</v>
      </c>
      <c r="B274" s="199" t="s">
        <v>1399</v>
      </c>
    </row>
    <row r="275" spans="1:2">
      <c r="A275" t="s">
        <v>1400</v>
      </c>
      <c r="B275" s="199" t="s">
        <v>1401</v>
      </c>
    </row>
    <row r="276" spans="1:2">
      <c r="A276" t="s">
        <v>1402</v>
      </c>
      <c r="B276" s="199" t="s">
        <v>1403</v>
      </c>
    </row>
    <row r="277" spans="1:2">
      <c r="A277" t="s">
        <v>1404</v>
      </c>
      <c r="B277" s="199" t="s">
        <v>1405</v>
      </c>
    </row>
    <row r="278" spans="1:2">
      <c r="B278" s="199" t="s">
        <v>1406</v>
      </c>
    </row>
    <row r="279" spans="1:2">
      <c r="B279" s="199" t="s">
        <v>1407</v>
      </c>
    </row>
    <row r="280" spans="1:2">
      <c r="B280" s="199" t="s">
        <v>1408</v>
      </c>
    </row>
    <row r="281" spans="1:2">
      <c r="B281" s="199" t="s">
        <v>1409</v>
      </c>
    </row>
    <row r="282" spans="1:2">
      <c r="B282" s="199" t="s">
        <v>1410</v>
      </c>
    </row>
    <row r="283" spans="1:2">
      <c r="B283" s="199" t="s">
        <v>1411</v>
      </c>
    </row>
    <row r="284" spans="1:2">
      <c r="B284" s="199" t="s">
        <v>1412</v>
      </c>
    </row>
    <row r="285" spans="1:2">
      <c r="B285" s="199" t="s">
        <v>1413</v>
      </c>
    </row>
    <row r="286" spans="1:2">
      <c r="B286" s="199" t="s">
        <v>1414</v>
      </c>
    </row>
    <row r="287" spans="1:2">
      <c r="B287" s="199" t="s">
        <v>1415</v>
      </c>
    </row>
    <row r="288" spans="1:2">
      <c r="B288" s="199" t="s">
        <v>1416</v>
      </c>
    </row>
    <row r="289" spans="2:2">
      <c r="B289" s="199" t="s">
        <v>1417</v>
      </c>
    </row>
    <row r="290" spans="2:2">
      <c r="B290" s="199" t="s">
        <v>1418</v>
      </c>
    </row>
    <row r="291" spans="2:2">
      <c r="B291" s="199" t="s">
        <v>1419</v>
      </c>
    </row>
    <row r="292" spans="2:2">
      <c r="B292" s="199" t="s">
        <v>1420</v>
      </c>
    </row>
    <row r="293" spans="2:2">
      <c r="B293" s="199" t="s">
        <v>1421</v>
      </c>
    </row>
    <row r="294" spans="2:2">
      <c r="B294" s="199" t="s">
        <v>1422</v>
      </c>
    </row>
    <row r="295" spans="2:2">
      <c r="B295" s="199" t="s">
        <v>1423</v>
      </c>
    </row>
    <row r="296" spans="2:2">
      <c r="B296" s="199" t="s">
        <v>1424</v>
      </c>
    </row>
    <row r="297" spans="2:2">
      <c r="B297" s="199" t="s">
        <v>1425</v>
      </c>
    </row>
    <row r="298" spans="2:2">
      <c r="B298" s="199" t="s">
        <v>1426</v>
      </c>
    </row>
    <row r="299" spans="2:2">
      <c r="B299" s="199" t="s">
        <v>1427</v>
      </c>
    </row>
    <row r="300" spans="2:2">
      <c r="B300" s="199" t="s">
        <v>1428</v>
      </c>
    </row>
    <row r="301" spans="2:2">
      <c r="B301" s="199" t="s">
        <v>1429</v>
      </c>
    </row>
    <row r="302" spans="2:2">
      <c r="B302" s="199" t="s">
        <v>1430</v>
      </c>
    </row>
    <row r="303" spans="2:2">
      <c r="B303" t="s">
        <v>1431</v>
      </c>
    </row>
    <row r="304" spans="2:2">
      <c r="B304" t="s">
        <v>1432</v>
      </c>
    </row>
    <row r="305" spans="2:2">
      <c r="B305" t="s">
        <v>1433</v>
      </c>
    </row>
    <row r="306" spans="2:2">
      <c r="B306" t="s">
        <v>1434</v>
      </c>
    </row>
    <row r="307" spans="2:2">
      <c r="B307" t="s">
        <v>1435</v>
      </c>
    </row>
    <row r="308" spans="2:2">
      <c r="B308" t="s">
        <v>1436</v>
      </c>
    </row>
    <row r="309" spans="2:2">
      <c r="B309" t="s">
        <v>1437</v>
      </c>
    </row>
    <row r="310" spans="2:2">
      <c r="B310" t="s">
        <v>1438</v>
      </c>
    </row>
    <row r="311" spans="2:2">
      <c r="B311" t="s">
        <v>1439</v>
      </c>
    </row>
    <row r="312" spans="2:2">
      <c r="B312" t="s">
        <v>1440</v>
      </c>
    </row>
    <row r="313" spans="2:2">
      <c r="B313" t="s">
        <v>1441</v>
      </c>
    </row>
    <row r="314" spans="2:2">
      <c r="B314" t="s">
        <v>1442</v>
      </c>
    </row>
    <row r="315" spans="2:2">
      <c r="B315" t="s">
        <v>1443</v>
      </c>
    </row>
    <row r="316" spans="2:2">
      <c r="B316" t="s">
        <v>1444</v>
      </c>
    </row>
    <row r="317" spans="2:2">
      <c r="B317" t="s">
        <v>1445</v>
      </c>
    </row>
    <row r="318" spans="2:2">
      <c r="B318" t="s">
        <v>1446</v>
      </c>
    </row>
    <row r="319" spans="2:2">
      <c r="B319" t="s">
        <v>1447</v>
      </c>
    </row>
    <row r="320" spans="2:2">
      <c r="B320" t="s">
        <v>1448</v>
      </c>
    </row>
    <row r="321" spans="2:2">
      <c r="B321" t="s">
        <v>1449</v>
      </c>
    </row>
    <row r="322" spans="2:2">
      <c r="B322" t="s">
        <v>1450</v>
      </c>
    </row>
    <row r="323" spans="2:2">
      <c r="B323" t="s">
        <v>1451</v>
      </c>
    </row>
    <row r="324" spans="2:2">
      <c r="B324" t="s">
        <v>1452</v>
      </c>
    </row>
    <row r="325" spans="2:2">
      <c r="B325" t="s">
        <v>1453</v>
      </c>
    </row>
    <row r="326" spans="2:2">
      <c r="B326" t="s">
        <v>1454</v>
      </c>
    </row>
    <row r="327" spans="2:2">
      <c r="B327" t="s">
        <v>1455</v>
      </c>
    </row>
    <row r="328" spans="2:2">
      <c r="B328" t="s">
        <v>1456</v>
      </c>
    </row>
    <row r="329" spans="2:2">
      <c r="B329" t="s">
        <v>1457</v>
      </c>
    </row>
    <row r="330" spans="2:2">
      <c r="B330" t="s">
        <v>1458</v>
      </c>
    </row>
    <row r="331" spans="2:2">
      <c r="B331" t="s">
        <v>1459</v>
      </c>
    </row>
    <row r="332" spans="2:2">
      <c r="B332" t="s">
        <v>1460</v>
      </c>
    </row>
    <row r="333" spans="2:2">
      <c r="B333" t="s">
        <v>1461</v>
      </c>
    </row>
    <row r="334" spans="2:2">
      <c r="B334" t="s">
        <v>1462</v>
      </c>
    </row>
    <row r="335" spans="2:2">
      <c r="B335" t="s">
        <v>1463</v>
      </c>
    </row>
    <row r="336" spans="2:2">
      <c r="B336" t="s">
        <v>1464</v>
      </c>
    </row>
    <row r="337" spans="2:2">
      <c r="B337" t="s">
        <v>1465</v>
      </c>
    </row>
    <row r="338" spans="2:2">
      <c r="B338" t="s">
        <v>1466</v>
      </c>
    </row>
    <row r="339" spans="2:2">
      <c r="B339" t="s">
        <v>1467</v>
      </c>
    </row>
    <row r="340" spans="2:2">
      <c r="B340" t="s">
        <v>1468</v>
      </c>
    </row>
    <row r="341" spans="2:2">
      <c r="B341" t="s">
        <v>1469</v>
      </c>
    </row>
    <row r="342" spans="2:2">
      <c r="B342" t="s">
        <v>1470</v>
      </c>
    </row>
    <row r="343" spans="2:2">
      <c r="B343" t="s">
        <v>1471</v>
      </c>
    </row>
    <row r="344" spans="2:2">
      <c r="B344" t="s">
        <v>1472</v>
      </c>
    </row>
    <row r="345" spans="2:2">
      <c r="B345" t="s">
        <v>1473</v>
      </c>
    </row>
    <row r="346" spans="2:2">
      <c r="B346" t="s">
        <v>1474</v>
      </c>
    </row>
    <row r="347" spans="2:2">
      <c r="B347" t="s">
        <v>1475</v>
      </c>
    </row>
    <row r="348" spans="2:2">
      <c r="B348" t="s">
        <v>1476</v>
      </c>
    </row>
    <row r="349" spans="2:2">
      <c r="B349" t="s">
        <v>1477</v>
      </c>
    </row>
    <row r="350" spans="2:2">
      <c r="B350" t="s">
        <v>1478</v>
      </c>
    </row>
    <row r="351" spans="2:2">
      <c r="B351" s="199" t="s">
        <v>1479</v>
      </c>
    </row>
    <row r="352" spans="2:2">
      <c r="B352" s="199" t="s">
        <v>1480</v>
      </c>
    </row>
    <row r="353" spans="2:2">
      <c r="B353" s="199" t="s">
        <v>1481</v>
      </c>
    </row>
    <row r="354" spans="2:2">
      <c r="B354" s="199" t="s">
        <v>1482</v>
      </c>
    </row>
    <row r="355" spans="2:2">
      <c r="B355" s="199" t="s">
        <v>1483</v>
      </c>
    </row>
    <row r="356" spans="2:2">
      <c r="B356" s="199" t="s">
        <v>1484</v>
      </c>
    </row>
    <row r="357" spans="2:2">
      <c r="B357" s="199" t="s">
        <v>1485</v>
      </c>
    </row>
    <row r="358" spans="2:2">
      <c r="B358" s="199" t="s">
        <v>1486</v>
      </c>
    </row>
    <row r="359" spans="2:2">
      <c r="B359" s="199" t="s">
        <v>1487</v>
      </c>
    </row>
    <row r="360" spans="2:2">
      <c r="B360" s="199" t="s">
        <v>1488</v>
      </c>
    </row>
    <row r="361" spans="2:2">
      <c r="B361" s="199" t="s">
        <v>1489</v>
      </c>
    </row>
    <row r="362" spans="2:2">
      <c r="B362" t="s">
        <v>1490</v>
      </c>
    </row>
    <row r="363" spans="2:2">
      <c r="B363" t="s">
        <v>1491</v>
      </c>
    </row>
    <row r="364" spans="2:2">
      <c r="B364" t="s">
        <v>1492</v>
      </c>
    </row>
    <row r="365" spans="2:2">
      <c r="B365" t="s">
        <v>1493</v>
      </c>
    </row>
    <row r="366" spans="2:2">
      <c r="B366" t="s">
        <v>1494</v>
      </c>
    </row>
    <row r="367" spans="2:2">
      <c r="B367" t="s">
        <v>1495</v>
      </c>
    </row>
    <row r="368" spans="2:2">
      <c r="B368" t="s">
        <v>1496</v>
      </c>
    </row>
    <row r="369" spans="2:2">
      <c r="B369" t="s">
        <v>1497</v>
      </c>
    </row>
    <row r="370" spans="2:2">
      <c r="B370" t="s">
        <v>1498</v>
      </c>
    </row>
    <row r="371" spans="2:2">
      <c r="B371" t="s">
        <v>1499</v>
      </c>
    </row>
    <row r="372" spans="2:2">
      <c r="B372" t="s">
        <v>1500</v>
      </c>
    </row>
    <row r="373" spans="2:2">
      <c r="B373" t="s">
        <v>1501</v>
      </c>
    </row>
    <row r="374" spans="2:2">
      <c r="B374" t="s">
        <v>1502</v>
      </c>
    </row>
    <row r="375" spans="2:2">
      <c r="B375" t="s">
        <v>1503</v>
      </c>
    </row>
    <row r="376" spans="2:2">
      <c r="B376" t="s">
        <v>1504</v>
      </c>
    </row>
    <row r="377" spans="2:2">
      <c r="B377" t="s">
        <v>1505</v>
      </c>
    </row>
    <row r="378" spans="2:2">
      <c r="B378" t="s">
        <v>1506</v>
      </c>
    </row>
    <row r="379" spans="2:2">
      <c r="B379" t="s">
        <v>1507</v>
      </c>
    </row>
    <row r="380" spans="2:2">
      <c r="B380" t="s">
        <v>1508</v>
      </c>
    </row>
    <row r="381" spans="2:2">
      <c r="B381" t="s">
        <v>1509</v>
      </c>
    </row>
    <row r="382" spans="2:2">
      <c r="B382" t="s">
        <v>1510</v>
      </c>
    </row>
    <row r="383" spans="2:2">
      <c r="B383" t="s">
        <v>1511</v>
      </c>
    </row>
    <row r="384" spans="2:2">
      <c r="B384" t="s">
        <v>1512</v>
      </c>
    </row>
    <row r="385" spans="2:2">
      <c r="B385" t="s">
        <v>1513</v>
      </c>
    </row>
    <row r="386" spans="2:2">
      <c r="B386" t="s">
        <v>1514</v>
      </c>
    </row>
    <row r="387" spans="2:2">
      <c r="B387" t="s">
        <v>1515</v>
      </c>
    </row>
    <row r="388" spans="2:2">
      <c r="B388" t="s">
        <v>1516</v>
      </c>
    </row>
    <row r="389" spans="2:2">
      <c r="B389" t="s">
        <v>1517</v>
      </c>
    </row>
    <row r="390" spans="2:2">
      <c r="B390" t="s">
        <v>1518</v>
      </c>
    </row>
    <row r="391" spans="2:2">
      <c r="B391" t="s">
        <v>1519</v>
      </c>
    </row>
    <row r="392" spans="2:2">
      <c r="B392" t="s">
        <v>1520</v>
      </c>
    </row>
    <row r="393" spans="2:2">
      <c r="B393" t="s">
        <v>1521</v>
      </c>
    </row>
    <row r="394" spans="2:2">
      <c r="B394" t="s">
        <v>1522</v>
      </c>
    </row>
    <row r="395" spans="2:2">
      <c r="B395" t="s">
        <v>1523</v>
      </c>
    </row>
    <row r="396" spans="2:2">
      <c r="B396" t="s">
        <v>1524</v>
      </c>
    </row>
    <row r="397" spans="2:2">
      <c r="B397" t="s">
        <v>1525</v>
      </c>
    </row>
    <row r="398" spans="2:2">
      <c r="B398" t="s">
        <v>1526</v>
      </c>
    </row>
    <row r="399" spans="2:2">
      <c r="B399" t="s">
        <v>1527</v>
      </c>
    </row>
    <row r="400" spans="2:2">
      <c r="B400" t="s">
        <v>1528</v>
      </c>
    </row>
    <row r="401" spans="2:2">
      <c r="B401" t="s">
        <v>1529</v>
      </c>
    </row>
    <row r="402" spans="2:2">
      <c r="B402" t="s">
        <v>1530</v>
      </c>
    </row>
    <row r="403" spans="2:2">
      <c r="B403" t="s">
        <v>1531</v>
      </c>
    </row>
    <row r="404" spans="2:2">
      <c r="B404" t="s">
        <v>1532</v>
      </c>
    </row>
    <row r="405" spans="2:2">
      <c r="B405" t="s">
        <v>1533</v>
      </c>
    </row>
    <row r="406" spans="2:2">
      <c r="B406" t="s">
        <v>1534</v>
      </c>
    </row>
    <row r="407" spans="2:2">
      <c r="B407" t="s">
        <v>1535</v>
      </c>
    </row>
    <row r="408" spans="2:2">
      <c r="B408" t="s">
        <v>1536</v>
      </c>
    </row>
    <row r="409" spans="2:2">
      <c r="B409" t="s">
        <v>1537</v>
      </c>
    </row>
    <row r="410" spans="2:2">
      <c r="B410" t="s">
        <v>1538</v>
      </c>
    </row>
    <row r="411" spans="2:2">
      <c r="B411" t="s">
        <v>1539</v>
      </c>
    </row>
    <row r="412" spans="2:2">
      <c r="B412" t="s">
        <v>1540</v>
      </c>
    </row>
    <row r="413" spans="2:2">
      <c r="B413" t="s">
        <v>1541</v>
      </c>
    </row>
    <row r="414" spans="2:2">
      <c r="B414" t="s">
        <v>1542</v>
      </c>
    </row>
    <row r="415" spans="2:2">
      <c r="B415" t="s">
        <v>1543</v>
      </c>
    </row>
    <row r="416" spans="2:2">
      <c r="B416" t="s">
        <v>1544</v>
      </c>
    </row>
    <row r="417" spans="2:2">
      <c r="B417" t="s">
        <v>1545</v>
      </c>
    </row>
    <row r="418" spans="2:2">
      <c r="B418" t="s">
        <v>1546</v>
      </c>
    </row>
    <row r="419" spans="2:2">
      <c r="B419" t="s">
        <v>1547</v>
      </c>
    </row>
    <row r="420" spans="2:2">
      <c r="B420" t="s">
        <v>1548</v>
      </c>
    </row>
    <row r="421" spans="2:2">
      <c r="B421" t="s">
        <v>1549</v>
      </c>
    </row>
    <row r="422" spans="2:2">
      <c r="B422" t="s">
        <v>1550</v>
      </c>
    </row>
    <row r="423" spans="2:2">
      <c r="B423" t="s">
        <v>1551</v>
      </c>
    </row>
    <row r="424" spans="2:2">
      <c r="B424" t="s">
        <v>1552</v>
      </c>
    </row>
    <row r="425" spans="2:2">
      <c r="B425" t="s">
        <v>1553</v>
      </c>
    </row>
    <row r="426" spans="2:2">
      <c r="B426" t="s">
        <v>1554</v>
      </c>
    </row>
    <row r="427" spans="2:2">
      <c r="B427" t="s">
        <v>1555</v>
      </c>
    </row>
    <row r="428" spans="2:2">
      <c r="B428" t="s">
        <v>1556</v>
      </c>
    </row>
    <row r="429" spans="2:2">
      <c r="B429" t="s">
        <v>1557</v>
      </c>
    </row>
    <row r="430" spans="2:2">
      <c r="B430" t="s">
        <v>1558</v>
      </c>
    </row>
    <row r="431" spans="2:2">
      <c r="B431" t="s">
        <v>1559</v>
      </c>
    </row>
    <row r="432" spans="2:2">
      <c r="B432" t="s">
        <v>1560</v>
      </c>
    </row>
    <row r="433" spans="2:2">
      <c r="B433" t="s">
        <v>1561</v>
      </c>
    </row>
    <row r="434" spans="2:2">
      <c r="B434" t="s">
        <v>1562</v>
      </c>
    </row>
    <row r="435" spans="2:2">
      <c r="B435" t="s">
        <v>1563</v>
      </c>
    </row>
    <row r="436" spans="2:2">
      <c r="B436" t="s">
        <v>1564</v>
      </c>
    </row>
    <row r="437" spans="2:2">
      <c r="B437" t="s">
        <v>1565</v>
      </c>
    </row>
    <row r="438" spans="2:2">
      <c r="B438" t="s">
        <v>1566</v>
      </c>
    </row>
    <row r="439" spans="2:2">
      <c r="B439" t="s">
        <v>1567</v>
      </c>
    </row>
    <row r="440" spans="2:2">
      <c r="B440" t="s">
        <v>1568</v>
      </c>
    </row>
    <row r="441" spans="2:2">
      <c r="B441" t="s">
        <v>1569</v>
      </c>
    </row>
    <row r="442" spans="2:2">
      <c r="B442" t="s">
        <v>1570</v>
      </c>
    </row>
    <row r="443" spans="2:2">
      <c r="B443" t="s">
        <v>1571</v>
      </c>
    </row>
    <row r="444" spans="2:2">
      <c r="B444" t="s">
        <v>1572</v>
      </c>
    </row>
    <row r="445" spans="2:2">
      <c r="B445" t="s">
        <v>1573</v>
      </c>
    </row>
    <row r="446" spans="2:2">
      <c r="B446" t="s">
        <v>1574</v>
      </c>
    </row>
    <row r="447" spans="2:2">
      <c r="B447" t="s">
        <v>1575</v>
      </c>
    </row>
    <row r="448" spans="2:2">
      <c r="B448" t="s">
        <v>1576</v>
      </c>
    </row>
    <row r="449" spans="2:2">
      <c r="B449" t="s">
        <v>1577</v>
      </c>
    </row>
    <row r="450" spans="2:2">
      <c r="B450" t="s">
        <v>1578</v>
      </c>
    </row>
    <row r="451" spans="2:2">
      <c r="B451" t="s">
        <v>1579</v>
      </c>
    </row>
    <row r="452" spans="2:2">
      <c r="B452" t="s">
        <v>1580</v>
      </c>
    </row>
    <row r="453" spans="2:2">
      <c r="B453" t="s">
        <v>1581</v>
      </c>
    </row>
    <row r="454" spans="2:2">
      <c r="B454" t="s">
        <v>1582</v>
      </c>
    </row>
    <row r="455" spans="2:2">
      <c r="B455" t="s">
        <v>1583</v>
      </c>
    </row>
    <row r="456" spans="2:2">
      <c r="B456" t="s">
        <v>1584</v>
      </c>
    </row>
    <row r="457" spans="2:2">
      <c r="B457" t="s">
        <v>1585</v>
      </c>
    </row>
    <row r="458" spans="2:2">
      <c r="B458" t="s">
        <v>1586</v>
      </c>
    </row>
    <row r="459" spans="2:2">
      <c r="B459" t="s">
        <v>1587</v>
      </c>
    </row>
    <row r="460" spans="2:2">
      <c r="B460" t="s">
        <v>1588</v>
      </c>
    </row>
    <row r="461" spans="2:2">
      <c r="B461" t="s">
        <v>1589</v>
      </c>
    </row>
    <row r="462" spans="2:2">
      <c r="B462" t="s">
        <v>1590</v>
      </c>
    </row>
    <row r="463" spans="2:2">
      <c r="B463" t="s">
        <v>1591</v>
      </c>
    </row>
    <row r="464" spans="2:2">
      <c r="B464" t="s">
        <v>1592</v>
      </c>
    </row>
    <row r="465" spans="2:2">
      <c r="B465" t="s">
        <v>1593</v>
      </c>
    </row>
    <row r="466" spans="2:2">
      <c r="B466" t="s">
        <v>1594</v>
      </c>
    </row>
    <row r="467" spans="2:2">
      <c r="B467" t="s">
        <v>1595</v>
      </c>
    </row>
    <row r="468" spans="2:2">
      <c r="B468" t="s">
        <v>1596</v>
      </c>
    </row>
    <row r="469" spans="2:2">
      <c r="B469" t="s">
        <v>1597</v>
      </c>
    </row>
    <row r="470" spans="2:2">
      <c r="B470" t="s">
        <v>1598</v>
      </c>
    </row>
    <row r="471" spans="2:2">
      <c r="B471" t="s">
        <v>1599</v>
      </c>
    </row>
    <row r="472" spans="2:2">
      <c r="B472" t="s">
        <v>1600</v>
      </c>
    </row>
    <row r="473" spans="2:2">
      <c r="B473" t="s">
        <v>1601</v>
      </c>
    </row>
    <row r="474" spans="2:2">
      <c r="B474" t="s">
        <v>1602</v>
      </c>
    </row>
    <row r="475" spans="2:2">
      <c r="B475" t="s">
        <v>1603</v>
      </c>
    </row>
    <row r="476" spans="2:2">
      <c r="B476" t="s">
        <v>1604</v>
      </c>
    </row>
    <row r="477" spans="2:2">
      <c r="B477" t="s">
        <v>1605</v>
      </c>
    </row>
    <row r="478" spans="2:2">
      <c r="B478" t="s">
        <v>1606</v>
      </c>
    </row>
    <row r="479" spans="2:2">
      <c r="B479" t="s">
        <v>1607</v>
      </c>
    </row>
    <row r="480" spans="2:2">
      <c r="B480" t="s">
        <v>1608</v>
      </c>
    </row>
    <row r="481" spans="2:2">
      <c r="B481" t="s">
        <v>1609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38193-9225-4EC1-9548-FBC9D81307BF}">
  <dimension ref="A1:B11"/>
  <sheetViews>
    <sheetView workbookViewId="0">
      <selection activeCell="A13" sqref="A13"/>
    </sheetView>
  </sheetViews>
  <sheetFormatPr defaultColWidth="9.140625" defaultRowHeight="15"/>
  <cols>
    <col min="1" max="1" width="57.7109375" style="2" customWidth="1"/>
    <col min="2" max="2" width="23.140625" style="2" customWidth="1"/>
    <col min="3" max="16384" width="9.140625" style="2"/>
  </cols>
  <sheetData>
    <row r="1" spans="1:2">
      <c r="A1" s="13" t="s">
        <v>1610</v>
      </c>
      <c r="B1" s="14" t="s">
        <v>1611</v>
      </c>
    </row>
    <row r="2" spans="1:2">
      <c r="A2" s="4" t="s">
        <v>1612</v>
      </c>
      <c r="B2" s="5">
        <v>0.1</v>
      </c>
    </row>
    <row r="3" spans="1:2">
      <c r="A3" s="4" t="s">
        <v>1613</v>
      </c>
      <c r="B3" s="5">
        <v>0.1</v>
      </c>
    </row>
    <row r="4" spans="1:2">
      <c r="A4" s="4" t="s">
        <v>1614</v>
      </c>
      <c r="B4" s="5">
        <v>0</v>
      </c>
    </row>
    <row r="5" spans="1:2">
      <c r="A5" s="4" t="s">
        <v>1615</v>
      </c>
      <c r="B5" s="5">
        <v>0.3</v>
      </c>
    </row>
    <row r="6" spans="1:2">
      <c r="A6" s="4" t="s">
        <v>1616</v>
      </c>
      <c r="B6" s="5">
        <v>0.8</v>
      </c>
    </row>
    <row r="7" spans="1:2">
      <c r="A7" s="4" t="s">
        <v>1617</v>
      </c>
      <c r="B7" s="5">
        <v>0.8</v>
      </c>
    </row>
    <row r="8" spans="1:2">
      <c r="A8" s="4" t="s">
        <v>1618</v>
      </c>
      <c r="B8" s="5">
        <v>0.2</v>
      </c>
    </row>
    <row r="9" spans="1:2">
      <c r="A9" s="4" t="s">
        <v>1619</v>
      </c>
      <c r="B9" s="5">
        <v>0.8</v>
      </c>
    </row>
    <row r="10" spans="1:2">
      <c r="A10" s="4" t="s">
        <v>1620</v>
      </c>
      <c r="B10" s="5">
        <v>0.5</v>
      </c>
    </row>
    <row r="11" spans="1:2">
      <c r="A11" s="4" t="s">
        <v>1621</v>
      </c>
      <c r="B11" s="5">
        <v>0.1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4BED1-D576-4441-ABED-1566E9704A81}">
  <dimension ref="A1:J11"/>
  <sheetViews>
    <sheetView workbookViewId="0">
      <selection activeCell="H11" sqref="H11"/>
    </sheetView>
  </sheetViews>
  <sheetFormatPr defaultColWidth="8.85546875" defaultRowHeight="15"/>
  <cols>
    <col min="1" max="1" width="16.85546875" customWidth="1"/>
    <col min="2" max="2" width="13.85546875" customWidth="1"/>
    <col min="3" max="3" width="19.7109375" customWidth="1"/>
    <col min="4" max="4" width="57.140625" style="1" customWidth="1"/>
    <col min="5" max="5" width="20.42578125" customWidth="1"/>
    <col min="6" max="6" width="19.7109375" customWidth="1"/>
    <col min="7" max="7" width="45.85546875" style="1" customWidth="1"/>
  </cols>
  <sheetData>
    <row r="1" spans="1:10">
      <c r="A1" s="3" t="s">
        <v>0</v>
      </c>
      <c r="B1" s="3" t="s">
        <v>4</v>
      </c>
      <c r="C1" s="3" t="s">
        <v>5</v>
      </c>
      <c r="D1" s="8" t="s">
        <v>6</v>
      </c>
      <c r="E1" s="3" t="s">
        <v>2</v>
      </c>
      <c r="F1" s="3" t="s">
        <v>1622</v>
      </c>
      <c r="G1" s="8" t="s">
        <v>1623</v>
      </c>
      <c r="H1" s="123"/>
      <c r="I1" s="123"/>
      <c r="J1" s="123"/>
    </row>
    <row r="2" spans="1:10">
      <c r="A2" s="3" t="s">
        <v>10</v>
      </c>
      <c r="B2" s="2" t="s">
        <v>99</v>
      </c>
      <c r="C2" s="2" t="s">
        <v>105</v>
      </c>
      <c r="D2" s="7" t="s">
        <v>1624</v>
      </c>
      <c r="E2" s="2" t="s">
        <v>11</v>
      </c>
      <c r="F2" s="2" t="s">
        <v>1625</v>
      </c>
      <c r="G2" s="7" t="s">
        <v>1626</v>
      </c>
      <c r="H2" s="123"/>
      <c r="I2" s="123"/>
      <c r="J2" s="123"/>
    </row>
    <row r="3" spans="1:10" ht="30">
      <c r="A3" s="3" t="s">
        <v>10</v>
      </c>
      <c r="B3" s="2" t="s">
        <v>99</v>
      </c>
      <c r="C3" s="2" t="s">
        <v>1627</v>
      </c>
      <c r="D3" s="7" t="s">
        <v>1628</v>
      </c>
      <c r="E3" s="2" t="s">
        <v>11</v>
      </c>
      <c r="F3" s="2" t="s">
        <v>1629</v>
      </c>
      <c r="G3" s="7" t="s">
        <v>1630</v>
      </c>
      <c r="H3" s="123"/>
      <c r="I3" s="123"/>
      <c r="J3" s="123"/>
    </row>
    <row r="4" spans="1:10" ht="45">
      <c r="A4" s="3" t="s">
        <v>10</v>
      </c>
      <c r="B4" s="2" t="s">
        <v>99</v>
      </c>
      <c r="C4" s="2" t="s">
        <v>1631</v>
      </c>
      <c r="D4" s="7" t="s">
        <v>1632</v>
      </c>
      <c r="E4" s="2" t="s">
        <v>11</v>
      </c>
      <c r="F4" s="2" t="s">
        <v>1633</v>
      </c>
      <c r="G4" s="7" t="s">
        <v>1634</v>
      </c>
      <c r="H4" s="123"/>
      <c r="I4" s="123"/>
      <c r="J4" s="123"/>
    </row>
    <row r="5" spans="1:10">
      <c r="A5" s="3" t="s">
        <v>10</v>
      </c>
      <c r="B5" s="2" t="s">
        <v>99</v>
      </c>
      <c r="C5" s="2" t="s">
        <v>314</v>
      </c>
      <c r="D5" s="7" t="s">
        <v>1635</v>
      </c>
      <c r="E5" s="2" t="s">
        <v>11</v>
      </c>
      <c r="F5" s="2" t="s">
        <v>1636</v>
      </c>
      <c r="G5" s="7" t="s">
        <v>1637</v>
      </c>
      <c r="H5" s="123"/>
      <c r="I5" s="123"/>
      <c r="J5" s="123"/>
    </row>
    <row r="6" spans="1:10" ht="45">
      <c r="A6" s="3" t="s">
        <v>10</v>
      </c>
      <c r="B6" s="2" t="s">
        <v>99</v>
      </c>
      <c r="C6" s="2" t="s">
        <v>316</v>
      </c>
      <c r="D6" s="7" t="s">
        <v>1638</v>
      </c>
      <c r="E6" s="2" t="s">
        <v>11</v>
      </c>
      <c r="F6" s="15">
        <v>0.6</v>
      </c>
      <c r="G6" s="7" t="s">
        <v>1639</v>
      </c>
      <c r="H6" s="123"/>
      <c r="I6" s="123"/>
      <c r="J6" s="123"/>
    </row>
    <row r="7" spans="1:10">
      <c r="A7" s="3" t="s">
        <v>10</v>
      </c>
      <c r="B7" s="2" t="s">
        <v>99</v>
      </c>
      <c r="C7" s="2" t="s">
        <v>1640</v>
      </c>
      <c r="D7" s="7" t="s">
        <v>1641</v>
      </c>
      <c r="E7" s="2" t="s">
        <v>11</v>
      </c>
      <c r="F7" s="2" t="s">
        <v>1642</v>
      </c>
      <c r="G7" s="7" t="s">
        <v>1643</v>
      </c>
      <c r="H7" s="123"/>
      <c r="I7" s="123"/>
      <c r="J7" s="123"/>
    </row>
    <row r="8" spans="1:10">
      <c r="A8" s="3" t="s">
        <v>10</v>
      </c>
      <c r="B8" s="2" t="s">
        <v>99</v>
      </c>
      <c r="C8" s="2" t="s">
        <v>1644</v>
      </c>
      <c r="D8" s="7" t="s">
        <v>1645</v>
      </c>
      <c r="E8" s="2" t="s">
        <v>11</v>
      </c>
      <c r="F8" s="2" t="s">
        <v>1646</v>
      </c>
      <c r="G8" s="7" t="s">
        <v>1647</v>
      </c>
      <c r="H8" s="123"/>
      <c r="I8" s="123"/>
      <c r="J8" s="123"/>
    </row>
    <row r="9" spans="1:10">
      <c r="A9" s="3" t="s">
        <v>10</v>
      </c>
      <c r="B9" s="2" t="s">
        <v>99</v>
      </c>
      <c r="C9" s="2" t="s">
        <v>318</v>
      </c>
      <c r="D9" s="7" t="s">
        <v>319</v>
      </c>
      <c r="E9" s="2" t="s">
        <v>11</v>
      </c>
      <c r="F9" s="2">
        <v>0.9</v>
      </c>
      <c r="G9" s="7" t="s">
        <v>1648</v>
      </c>
      <c r="H9" s="123"/>
      <c r="I9" s="123"/>
      <c r="J9" s="123"/>
    </row>
    <row r="10" spans="1:10" ht="60">
      <c r="A10" s="3" t="s">
        <v>10</v>
      </c>
      <c r="B10" s="2" t="s">
        <v>99</v>
      </c>
      <c r="C10" s="2" t="s">
        <v>188</v>
      </c>
      <c r="D10" s="7" t="s">
        <v>1649</v>
      </c>
      <c r="E10" s="2" t="s">
        <v>11</v>
      </c>
      <c r="F10" s="2" t="s">
        <v>1650</v>
      </c>
      <c r="G10" s="7" t="s">
        <v>1651</v>
      </c>
      <c r="H10" s="123"/>
      <c r="I10" s="123"/>
      <c r="J10" s="123"/>
    </row>
    <row r="11" spans="1:10" ht="30">
      <c r="A11" s="3" t="s">
        <v>10</v>
      </c>
      <c r="B11" s="2" t="s">
        <v>99</v>
      </c>
      <c r="C11" s="2" t="s">
        <v>231</v>
      </c>
      <c r="D11" s="7" t="s">
        <v>1652</v>
      </c>
      <c r="E11" s="2" t="s">
        <v>11</v>
      </c>
      <c r="F11" s="2" t="s">
        <v>1653</v>
      </c>
      <c r="G11" s="7" t="s">
        <v>1654</v>
      </c>
      <c r="H11" s="123"/>
      <c r="I11" s="123"/>
      <c r="J11" s="12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AB74B-00C8-4CAD-B304-66013E2767F8}">
  <dimension ref="A1:G57"/>
  <sheetViews>
    <sheetView topLeftCell="B47" workbookViewId="0">
      <selection activeCell="A57" sqref="A57:XFD57"/>
    </sheetView>
  </sheetViews>
  <sheetFormatPr defaultColWidth="8.85546875" defaultRowHeight="15"/>
  <cols>
    <col min="1" max="2" width="15.42578125" customWidth="1"/>
    <col min="3" max="3" width="19.7109375" customWidth="1"/>
    <col min="4" max="4" width="64.140625" style="1" customWidth="1"/>
    <col min="5" max="5" width="18.28515625" customWidth="1"/>
    <col min="6" max="6" width="17.42578125" customWidth="1"/>
    <col min="7" max="7" width="23.85546875" customWidth="1"/>
  </cols>
  <sheetData>
    <row r="1" spans="1:7" s="19" customFormat="1" ht="30">
      <c r="A1" s="18" t="s">
        <v>94</v>
      </c>
      <c r="B1" s="128" t="s">
        <v>141</v>
      </c>
      <c r="C1" s="128" t="s">
        <v>141</v>
      </c>
      <c r="D1" s="128" t="s">
        <v>141</v>
      </c>
      <c r="E1" s="128" t="s">
        <v>141</v>
      </c>
      <c r="F1" s="128" t="s">
        <v>141</v>
      </c>
      <c r="G1" s="128" t="s">
        <v>141</v>
      </c>
    </row>
    <row r="2" spans="1:7" s="10" customFormat="1">
      <c r="A2" s="3" t="s">
        <v>0</v>
      </c>
      <c r="B2" s="3" t="s">
        <v>4</v>
      </c>
      <c r="C2" s="3" t="s">
        <v>5</v>
      </c>
      <c r="D2" s="8" t="s">
        <v>6</v>
      </c>
      <c r="E2" s="3" t="s">
        <v>2</v>
      </c>
      <c r="F2" s="3" t="s">
        <v>1622</v>
      </c>
      <c r="G2" s="3" t="s">
        <v>1655</v>
      </c>
    </row>
    <row r="3" spans="1:7" s="17" customFormat="1" ht="30">
      <c r="A3" s="24" t="s">
        <v>10</v>
      </c>
      <c r="B3" s="24" t="s">
        <v>95</v>
      </c>
      <c r="C3" s="24" t="s">
        <v>1656</v>
      </c>
      <c r="D3" s="27" t="s">
        <v>1657</v>
      </c>
      <c r="E3" s="24" t="s">
        <v>11</v>
      </c>
      <c r="F3" s="24">
        <f>F4*F5</f>
        <v>1.2000000000000002</v>
      </c>
      <c r="G3" s="24" t="s">
        <v>98</v>
      </c>
    </row>
    <row r="4" spans="1:7" ht="30">
      <c r="A4" s="3" t="s">
        <v>10</v>
      </c>
      <c r="B4" s="2" t="s">
        <v>95</v>
      </c>
      <c r="C4" s="2" t="s">
        <v>1658</v>
      </c>
      <c r="D4" s="7" t="s">
        <v>1659</v>
      </c>
      <c r="E4" s="2" t="s">
        <v>11</v>
      </c>
      <c r="F4" s="2">
        <f>F7</f>
        <v>24</v>
      </c>
      <c r="G4" s="122" t="s">
        <v>141</v>
      </c>
    </row>
    <row r="5" spans="1:7" s="17" customFormat="1" ht="30">
      <c r="A5" s="25" t="s">
        <v>10</v>
      </c>
      <c r="B5" s="24" t="s">
        <v>88</v>
      </c>
      <c r="C5" s="24" t="s">
        <v>1660</v>
      </c>
      <c r="D5" s="27" t="s">
        <v>1661</v>
      </c>
      <c r="E5" s="24" t="s">
        <v>11</v>
      </c>
      <c r="F5" s="24">
        <v>0.05</v>
      </c>
      <c r="G5" s="125" t="s">
        <v>141</v>
      </c>
    </row>
    <row r="6" spans="1:7">
      <c r="A6" s="3"/>
      <c r="B6" s="2"/>
      <c r="C6" s="2"/>
      <c r="D6" s="7"/>
      <c r="E6" s="2"/>
      <c r="F6" s="2"/>
      <c r="G6" s="122"/>
    </row>
    <row r="7" spans="1:7" s="17" customFormat="1" ht="30">
      <c r="A7" s="25" t="s">
        <v>10</v>
      </c>
      <c r="B7" s="24" t="s">
        <v>95</v>
      </c>
      <c r="C7" s="24" t="s">
        <v>1658</v>
      </c>
      <c r="D7" s="27" t="s">
        <v>1662</v>
      </c>
      <c r="E7" s="24" t="s">
        <v>11</v>
      </c>
      <c r="F7" s="24">
        <f>F8*F9</f>
        <v>24</v>
      </c>
      <c r="G7" s="24" t="s">
        <v>1663</v>
      </c>
    </row>
    <row r="8" spans="1:7" ht="30">
      <c r="A8" s="3" t="s">
        <v>10</v>
      </c>
      <c r="B8" s="2" t="s">
        <v>99</v>
      </c>
      <c r="C8" s="2" t="s">
        <v>1664</v>
      </c>
      <c r="D8" s="7" t="s">
        <v>1665</v>
      </c>
      <c r="E8" s="2" t="s">
        <v>11</v>
      </c>
      <c r="F8" s="2">
        <f>F11</f>
        <v>600</v>
      </c>
      <c r="G8" s="122" t="s">
        <v>141</v>
      </c>
    </row>
    <row r="9" spans="1:7" ht="30">
      <c r="A9" s="3" t="s">
        <v>10</v>
      </c>
      <c r="B9" s="2" t="s">
        <v>99</v>
      </c>
      <c r="C9" s="2" t="s">
        <v>1666</v>
      </c>
      <c r="D9" s="7" t="s">
        <v>1667</v>
      </c>
      <c r="E9" s="2" t="s">
        <v>11</v>
      </c>
      <c r="F9" s="2">
        <v>0.04</v>
      </c>
      <c r="G9" s="122" t="s">
        <v>141</v>
      </c>
    </row>
    <row r="10" spans="1:7">
      <c r="A10" s="3"/>
      <c r="B10" s="2"/>
      <c r="C10" s="2"/>
      <c r="D10" s="7"/>
      <c r="E10" s="2"/>
      <c r="F10" s="2"/>
      <c r="G10" s="122"/>
    </row>
    <row r="11" spans="1:7" s="17" customFormat="1" ht="30">
      <c r="A11" s="25" t="s">
        <v>10</v>
      </c>
      <c r="B11" s="24" t="s">
        <v>95</v>
      </c>
      <c r="C11" s="24" t="s">
        <v>1664</v>
      </c>
      <c r="D11" s="27" t="s">
        <v>1668</v>
      </c>
      <c r="E11" s="24" t="s">
        <v>11</v>
      </c>
      <c r="F11" s="24">
        <f>MIN(F12, F14)</f>
        <v>600</v>
      </c>
      <c r="G11" s="24" t="s">
        <v>1669</v>
      </c>
    </row>
    <row r="12" spans="1:7" ht="30">
      <c r="A12" s="3" t="s">
        <v>10</v>
      </c>
      <c r="B12" s="2" t="s">
        <v>99</v>
      </c>
      <c r="C12" s="2" t="s">
        <v>1670</v>
      </c>
      <c r="D12" s="7" t="s">
        <v>1671</v>
      </c>
      <c r="E12" s="2" t="s">
        <v>11</v>
      </c>
      <c r="F12" s="2">
        <v>600</v>
      </c>
      <c r="G12" s="122" t="s">
        <v>141</v>
      </c>
    </row>
    <row r="13" spans="1:7">
      <c r="A13" s="3"/>
      <c r="B13" s="2"/>
      <c r="C13" s="2"/>
      <c r="D13" s="7"/>
      <c r="E13" s="2"/>
      <c r="F13" s="2"/>
      <c r="G13" s="122"/>
    </row>
    <row r="14" spans="1:7" s="17" customFormat="1">
      <c r="A14" s="25" t="s">
        <v>10</v>
      </c>
      <c r="B14" s="24" t="s">
        <v>95</v>
      </c>
      <c r="C14" s="24" t="s">
        <v>1672</v>
      </c>
      <c r="D14" s="27" t="s">
        <v>1673</v>
      </c>
      <c r="E14" s="24" t="s">
        <v>11</v>
      </c>
      <c r="F14" s="24">
        <f>F15*F16</f>
        <v>600</v>
      </c>
      <c r="G14" s="24" t="s">
        <v>1674</v>
      </c>
    </row>
    <row r="15" spans="1:7" ht="30">
      <c r="A15" s="3" t="s">
        <v>10</v>
      </c>
      <c r="B15" s="2" t="s">
        <v>99</v>
      </c>
      <c r="C15" s="2" t="s">
        <v>1675</v>
      </c>
      <c r="D15" s="7" t="s">
        <v>1676</v>
      </c>
      <c r="E15" s="2" t="s">
        <v>11</v>
      </c>
      <c r="F15" s="2">
        <v>0.6</v>
      </c>
      <c r="G15" s="122" t="s">
        <v>141</v>
      </c>
    </row>
    <row r="16" spans="1:7" ht="30">
      <c r="A16" s="3" t="s">
        <v>10</v>
      </c>
      <c r="B16" s="2" t="s">
        <v>99</v>
      </c>
      <c r="C16" s="2" t="s">
        <v>1677</v>
      </c>
      <c r="D16" s="7" t="s">
        <v>1678</v>
      </c>
      <c r="E16" s="2" t="s">
        <v>11</v>
      </c>
      <c r="F16" s="2">
        <v>1000</v>
      </c>
      <c r="G16" s="122" t="s">
        <v>141</v>
      </c>
    </row>
    <row r="17" spans="1:7" ht="30">
      <c r="A17" s="122" t="s">
        <v>141</v>
      </c>
      <c r="B17" s="122" t="s">
        <v>141</v>
      </c>
      <c r="C17" s="122" t="s">
        <v>141</v>
      </c>
      <c r="D17" s="122" t="s">
        <v>141</v>
      </c>
      <c r="E17" s="122" t="s">
        <v>141</v>
      </c>
      <c r="F17" s="122" t="s">
        <v>141</v>
      </c>
      <c r="G17" s="122" t="s">
        <v>141</v>
      </c>
    </row>
    <row r="18" spans="1:7" s="19" customFormat="1" ht="30">
      <c r="A18" s="18" t="s">
        <v>184</v>
      </c>
      <c r="B18" s="128" t="s">
        <v>141</v>
      </c>
      <c r="C18" s="128" t="s">
        <v>141</v>
      </c>
      <c r="D18" s="128" t="s">
        <v>141</v>
      </c>
      <c r="E18" s="128" t="s">
        <v>141</v>
      </c>
      <c r="F18" s="128" t="s">
        <v>141</v>
      </c>
      <c r="G18" s="128" t="s">
        <v>141</v>
      </c>
    </row>
    <row r="19" spans="1:7" s="17" customFormat="1" ht="30">
      <c r="A19" s="25" t="s">
        <v>10</v>
      </c>
      <c r="B19" s="24" t="s">
        <v>95</v>
      </c>
      <c r="C19" s="24" t="s">
        <v>1679</v>
      </c>
      <c r="D19" s="27" t="s">
        <v>1680</v>
      </c>
      <c r="E19" s="24" t="s">
        <v>11</v>
      </c>
      <c r="F19" s="24">
        <f>F20+F21+F25+F35+F44</f>
        <v>7.8946499999999995</v>
      </c>
      <c r="G19" s="24" t="s">
        <v>305</v>
      </c>
    </row>
    <row r="20" spans="1:7" ht="30">
      <c r="A20" s="3" t="s">
        <v>10</v>
      </c>
      <c r="B20" s="2" t="s">
        <v>99</v>
      </c>
      <c r="C20" s="2" t="s">
        <v>1681</v>
      </c>
      <c r="D20" s="7" t="s">
        <v>1682</v>
      </c>
      <c r="E20" s="2" t="s">
        <v>11</v>
      </c>
      <c r="F20" s="2">
        <v>5</v>
      </c>
      <c r="G20" s="122" t="s">
        <v>141</v>
      </c>
    </row>
    <row r="21" spans="1:7" s="17" customFormat="1" ht="30">
      <c r="A21" s="25" t="s">
        <v>10</v>
      </c>
      <c r="B21" s="24" t="s">
        <v>95</v>
      </c>
      <c r="C21" s="24" t="s">
        <v>1683</v>
      </c>
      <c r="D21" s="27" t="s">
        <v>1684</v>
      </c>
      <c r="E21" s="24" t="s">
        <v>11</v>
      </c>
      <c r="F21" s="24">
        <f>F22*F23*F24</f>
        <v>2.5</v>
      </c>
      <c r="G21" s="24" t="s">
        <v>1685</v>
      </c>
    </row>
    <row r="22" spans="1:7" ht="30">
      <c r="A22" s="3" t="s">
        <v>10</v>
      </c>
      <c r="B22" s="2" t="s">
        <v>99</v>
      </c>
      <c r="C22" s="2" t="s">
        <v>1686</v>
      </c>
      <c r="D22" s="7" t="s">
        <v>1687</v>
      </c>
      <c r="E22" s="2" t="s">
        <v>11</v>
      </c>
      <c r="F22" s="2">
        <v>10</v>
      </c>
      <c r="G22" s="122" t="s">
        <v>141</v>
      </c>
    </row>
    <row r="23" spans="1:7" ht="30">
      <c r="A23" s="3" t="s">
        <v>10</v>
      </c>
      <c r="B23" s="2" t="s">
        <v>99</v>
      </c>
      <c r="C23" s="2" t="s">
        <v>1688</v>
      </c>
      <c r="D23" s="7" t="s">
        <v>1689</v>
      </c>
      <c r="E23" s="2" t="s">
        <v>11</v>
      </c>
      <c r="F23" s="2">
        <v>0.01</v>
      </c>
      <c r="G23" s="122" t="s">
        <v>141</v>
      </c>
    </row>
    <row r="24" spans="1:7" ht="30">
      <c r="A24" s="3" t="s">
        <v>10</v>
      </c>
      <c r="B24" s="2" t="s">
        <v>99</v>
      </c>
      <c r="C24" s="2" t="s">
        <v>265</v>
      </c>
      <c r="D24" s="7" t="s">
        <v>1690</v>
      </c>
      <c r="E24" s="2" t="s">
        <v>11</v>
      </c>
      <c r="F24" s="2">
        <f>Defaults!B4</f>
        <v>25</v>
      </c>
      <c r="G24" s="122" t="s">
        <v>141</v>
      </c>
    </row>
    <row r="25" spans="1:7" s="17" customFormat="1">
      <c r="A25" s="25" t="s">
        <v>10</v>
      </c>
      <c r="B25" s="24" t="s">
        <v>95</v>
      </c>
      <c r="C25" s="24" t="s">
        <v>1691</v>
      </c>
      <c r="D25" s="27" t="s">
        <v>1692</v>
      </c>
      <c r="E25" s="24" t="s">
        <v>11</v>
      </c>
      <c r="F25" s="24">
        <f xml:space="preserve"> F24*(1/1000)*SUM(F27*F28*F29, F31*F32*F33)</f>
        <v>0.39420000000000005</v>
      </c>
      <c r="G25" s="24"/>
    </row>
    <row r="26" spans="1:7" ht="29.25" customHeight="1">
      <c r="A26" s="241" t="s">
        <v>1693</v>
      </c>
      <c r="B26" s="241"/>
      <c r="C26" s="241"/>
      <c r="D26" s="241"/>
      <c r="E26" s="241"/>
      <c r="F26" s="241"/>
      <c r="G26" s="7"/>
    </row>
    <row r="27" spans="1:7" ht="30">
      <c r="A27" s="3" t="s">
        <v>10</v>
      </c>
      <c r="B27" s="2" t="s">
        <v>99</v>
      </c>
      <c r="C27" s="2" t="s">
        <v>1694</v>
      </c>
      <c r="D27" s="7" t="s">
        <v>1695</v>
      </c>
      <c r="E27" s="2" t="s">
        <v>11</v>
      </c>
      <c r="F27" s="2">
        <v>0.9</v>
      </c>
      <c r="G27" s="122" t="s">
        <v>141</v>
      </c>
    </row>
    <row r="28" spans="1:7" ht="30">
      <c r="A28" s="3" t="s">
        <v>10</v>
      </c>
      <c r="B28" s="2" t="s">
        <v>99</v>
      </c>
      <c r="C28" s="2" t="s">
        <v>1696</v>
      </c>
      <c r="D28" s="7" t="s">
        <v>1697</v>
      </c>
      <c r="E28" s="2" t="s">
        <v>11</v>
      </c>
      <c r="F28" s="2">
        <v>8760</v>
      </c>
      <c r="G28" s="122" t="s">
        <v>141</v>
      </c>
    </row>
    <row r="29" spans="1:7" ht="30">
      <c r="A29" s="3" t="s">
        <v>10</v>
      </c>
      <c r="B29" s="2" t="s">
        <v>99</v>
      </c>
      <c r="C29" s="2" t="s">
        <v>1698</v>
      </c>
      <c r="D29" s="7" t="s">
        <v>1699</v>
      </c>
      <c r="E29" s="2" t="s">
        <v>11</v>
      </c>
      <c r="F29" s="2">
        <v>1E-3</v>
      </c>
      <c r="G29" s="122" t="s">
        <v>141</v>
      </c>
    </row>
    <row r="30" spans="1:7" ht="29.25" customHeight="1">
      <c r="A30" s="241" t="s">
        <v>1693</v>
      </c>
      <c r="B30" s="241"/>
      <c r="C30" s="241"/>
      <c r="D30" s="241"/>
      <c r="E30" s="241"/>
      <c r="F30" s="241"/>
      <c r="G30" s="7"/>
    </row>
    <row r="31" spans="1:7" ht="30">
      <c r="A31" s="3" t="s">
        <v>10</v>
      </c>
      <c r="B31" s="2" t="s">
        <v>99</v>
      </c>
      <c r="C31" s="2" t="s">
        <v>1694</v>
      </c>
      <c r="D31" s="7" t="s">
        <v>1695</v>
      </c>
      <c r="E31" s="2" t="s">
        <v>11</v>
      </c>
      <c r="F31" s="2">
        <v>0.9</v>
      </c>
      <c r="G31" s="122" t="s">
        <v>141</v>
      </c>
    </row>
    <row r="32" spans="1:7" ht="30">
      <c r="A32" s="3" t="s">
        <v>10</v>
      </c>
      <c r="B32" s="2" t="s">
        <v>99</v>
      </c>
      <c r="C32" s="2" t="s">
        <v>1696</v>
      </c>
      <c r="D32" s="7" t="s">
        <v>1700</v>
      </c>
      <c r="E32" s="2" t="s">
        <v>11</v>
      </c>
      <c r="F32" s="2">
        <v>8760</v>
      </c>
      <c r="G32" s="122" t="s">
        <v>141</v>
      </c>
    </row>
    <row r="33" spans="1:7" ht="30">
      <c r="A33" s="3" t="s">
        <v>10</v>
      </c>
      <c r="B33" s="2" t="s">
        <v>99</v>
      </c>
      <c r="C33" s="2" t="s">
        <v>1698</v>
      </c>
      <c r="D33" s="7" t="s">
        <v>1699</v>
      </c>
      <c r="E33" s="2" t="s">
        <v>11</v>
      </c>
      <c r="F33" s="2">
        <v>1E-3</v>
      </c>
      <c r="G33" s="122" t="s">
        <v>141</v>
      </c>
    </row>
    <row r="34" spans="1:7" ht="29.25" customHeight="1">
      <c r="A34" s="241" t="s">
        <v>1693</v>
      </c>
      <c r="B34" s="241"/>
      <c r="C34" s="241"/>
      <c r="D34" s="241"/>
      <c r="E34" s="241"/>
      <c r="F34" s="241"/>
      <c r="G34" s="7"/>
    </row>
    <row r="35" spans="1:7" s="17" customFormat="1">
      <c r="A35" s="25" t="s">
        <v>10</v>
      </c>
      <c r="B35" s="24" t="s">
        <v>95</v>
      </c>
      <c r="C35" s="24" t="s">
        <v>1701</v>
      </c>
      <c r="D35" s="27" t="s">
        <v>1702</v>
      </c>
      <c r="E35" s="24" t="s">
        <v>11</v>
      </c>
      <c r="F35" s="24">
        <f>(F24/1000) * SUM(F37*F38, F40*F41)</f>
        <v>4.500000000000001E-4</v>
      </c>
      <c r="G35" s="24" t="s">
        <v>187</v>
      </c>
    </row>
    <row r="36" spans="1:7" ht="29.25" customHeight="1">
      <c r="A36" s="241" t="s">
        <v>1703</v>
      </c>
      <c r="B36" s="241"/>
      <c r="C36" s="241"/>
      <c r="D36" s="241"/>
      <c r="E36" s="241"/>
      <c r="F36" s="241"/>
      <c r="G36" s="7"/>
    </row>
    <row r="37" spans="1:7" ht="30">
      <c r="A37" s="3" t="s">
        <v>10</v>
      </c>
      <c r="B37" s="2" t="s">
        <v>99</v>
      </c>
      <c r="C37" s="2" t="s">
        <v>1704</v>
      </c>
      <c r="D37" s="7" t="s">
        <v>1705</v>
      </c>
      <c r="E37" s="2" t="s">
        <v>11</v>
      </c>
      <c r="F37" s="2">
        <v>0.01</v>
      </c>
      <c r="G37" s="122" t="s">
        <v>141</v>
      </c>
    </row>
    <row r="38" spans="1:7" ht="30">
      <c r="A38" s="3" t="s">
        <v>10</v>
      </c>
      <c r="B38" s="2" t="s">
        <v>99</v>
      </c>
      <c r="C38" s="2" t="s">
        <v>1706</v>
      </c>
      <c r="D38" s="7" t="s">
        <v>1707</v>
      </c>
      <c r="E38" s="2" t="s">
        <v>11</v>
      </c>
      <c r="F38" s="2">
        <v>0.9</v>
      </c>
      <c r="G38" s="122" t="s">
        <v>141</v>
      </c>
    </row>
    <row r="39" spans="1:7" ht="29.25" customHeight="1">
      <c r="A39" s="241" t="s">
        <v>1703</v>
      </c>
      <c r="B39" s="241"/>
      <c r="C39" s="241"/>
      <c r="D39" s="241"/>
      <c r="E39" s="241"/>
      <c r="F39" s="241"/>
      <c r="G39" s="7"/>
    </row>
    <row r="40" spans="1:7" ht="30">
      <c r="A40" s="3" t="s">
        <v>10</v>
      </c>
      <c r="B40" s="2" t="s">
        <v>99</v>
      </c>
      <c r="C40" s="2" t="s">
        <v>1704</v>
      </c>
      <c r="D40" s="7" t="s">
        <v>1708</v>
      </c>
      <c r="E40" s="2" t="s">
        <v>11</v>
      </c>
      <c r="F40" s="2">
        <v>0.01</v>
      </c>
      <c r="G40" s="122" t="s">
        <v>141</v>
      </c>
    </row>
    <row r="41" spans="1:7" ht="30">
      <c r="A41" s="3" t="s">
        <v>10</v>
      </c>
      <c r="B41" s="2" t="s">
        <v>99</v>
      </c>
      <c r="C41" s="2" t="s">
        <v>1706</v>
      </c>
      <c r="D41" s="7" t="s">
        <v>1709</v>
      </c>
      <c r="E41" s="2" t="s">
        <v>11</v>
      </c>
      <c r="F41" s="2">
        <v>0.9</v>
      </c>
      <c r="G41" s="122" t="s">
        <v>141</v>
      </c>
    </row>
    <row r="42" spans="1:7" ht="29.25" customHeight="1">
      <c r="A42" s="241" t="s">
        <v>1703</v>
      </c>
      <c r="B42" s="241"/>
      <c r="C42" s="241"/>
      <c r="D42" s="241"/>
      <c r="E42" s="241"/>
      <c r="F42" s="241"/>
      <c r="G42" s="7"/>
    </row>
    <row r="43" spans="1:7" ht="29.25" customHeight="1">
      <c r="A43" s="28"/>
      <c r="B43" s="28"/>
      <c r="C43" s="28"/>
      <c r="D43" s="28"/>
      <c r="E43" s="28"/>
      <c r="F43" s="28"/>
      <c r="G43" s="7"/>
    </row>
    <row r="44" spans="1:7" s="19" customFormat="1" ht="29.25" customHeight="1">
      <c r="A44" s="48" t="s">
        <v>11</v>
      </c>
      <c r="B44" s="48" t="s">
        <v>95</v>
      </c>
      <c r="C44" s="48" t="s">
        <v>1710</v>
      </c>
      <c r="D44" s="48" t="s">
        <v>1711</v>
      </c>
      <c r="E44" s="48" t="s">
        <v>11</v>
      </c>
      <c r="F44" s="48">
        <f>F45*F46*F24</f>
        <v>0</v>
      </c>
      <c r="G44" s="48" t="s">
        <v>1712</v>
      </c>
    </row>
    <row r="45" spans="1:7" s="49" customFormat="1" ht="29.25" customHeight="1">
      <c r="A45" s="9" t="s">
        <v>11</v>
      </c>
      <c r="B45" s="9" t="s">
        <v>99</v>
      </c>
      <c r="C45" s="9" t="s">
        <v>1713</v>
      </c>
      <c r="D45" s="9" t="s">
        <v>1714</v>
      </c>
      <c r="E45" s="9" t="s">
        <v>11</v>
      </c>
      <c r="F45" s="9">
        <v>0</v>
      </c>
      <c r="G45" s="9"/>
    </row>
    <row r="46" spans="1:7" s="49" customFormat="1" ht="29.25" customHeight="1">
      <c r="A46" s="9" t="s">
        <v>11</v>
      </c>
      <c r="B46" s="9" t="s">
        <v>99</v>
      </c>
      <c r="C46" s="9" t="s">
        <v>1715</v>
      </c>
      <c r="D46" s="9" t="s">
        <v>1716</v>
      </c>
      <c r="E46" s="9" t="s">
        <v>11</v>
      </c>
      <c r="F46" s="9">
        <v>0</v>
      </c>
      <c r="G46" s="9" t="s">
        <v>1717</v>
      </c>
    </row>
    <row r="47" spans="1:7" ht="30">
      <c r="A47" s="122" t="s">
        <v>141</v>
      </c>
      <c r="B47" s="122" t="s">
        <v>141</v>
      </c>
      <c r="C47" s="122" t="s">
        <v>141</v>
      </c>
      <c r="D47" s="122" t="s">
        <v>141</v>
      </c>
      <c r="E47" s="122" t="s">
        <v>141</v>
      </c>
      <c r="F47" s="122" t="s">
        <v>141</v>
      </c>
      <c r="G47" s="122" t="s">
        <v>141</v>
      </c>
    </row>
    <row r="48" spans="1:7" s="19" customFormat="1" ht="30">
      <c r="A48" s="18" t="s">
        <v>275</v>
      </c>
      <c r="B48" s="128" t="s">
        <v>141</v>
      </c>
      <c r="C48" s="128" t="s">
        <v>141</v>
      </c>
      <c r="D48" s="128" t="s">
        <v>141</v>
      </c>
      <c r="E48" s="128" t="s">
        <v>141</v>
      </c>
      <c r="F48" s="128" t="s">
        <v>141</v>
      </c>
      <c r="G48" s="128" t="s">
        <v>141</v>
      </c>
    </row>
    <row r="49" spans="1:7" s="17" customFormat="1">
      <c r="A49" s="25" t="s">
        <v>10</v>
      </c>
      <c r="B49" s="24" t="s">
        <v>95</v>
      </c>
      <c r="C49" s="24" t="s">
        <v>1718</v>
      </c>
      <c r="D49" s="27" t="s">
        <v>1719</v>
      </c>
      <c r="E49" s="24" t="s">
        <v>11</v>
      </c>
      <c r="F49" s="24">
        <f>F50+F53</f>
        <v>525</v>
      </c>
      <c r="G49" s="24" t="s">
        <v>250</v>
      </c>
    </row>
    <row r="50" spans="1:7" s="17" customFormat="1">
      <c r="A50" s="25" t="s">
        <v>10</v>
      </c>
      <c r="B50" s="24" t="s">
        <v>95</v>
      </c>
      <c r="C50" s="24" t="s">
        <v>1720</v>
      </c>
      <c r="D50" s="27" t="s">
        <v>1721</v>
      </c>
      <c r="E50" s="24" t="s">
        <v>11</v>
      </c>
      <c r="F50" s="24">
        <f>F51*F52*F24</f>
        <v>25</v>
      </c>
      <c r="G50" s="24" t="s">
        <v>262</v>
      </c>
    </row>
    <row r="51" spans="1:7" ht="30">
      <c r="A51" s="3" t="s">
        <v>10</v>
      </c>
      <c r="B51" s="2" t="s">
        <v>99</v>
      </c>
      <c r="C51" s="2" t="s">
        <v>1722</v>
      </c>
      <c r="D51" s="7" t="s">
        <v>1723</v>
      </c>
      <c r="E51" s="2" t="s">
        <v>11</v>
      </c>
      <c r="F51" s="2">
        <v>100</v>
      </c>
      <c r="G51" s="122" t="s">
        <v>141</v>
      </c>
    </row>
    <row r="52" spans="1:7" ht="30">
      <c r="A52" s="3" t="s">
        <v>10</v>
      </c>
      <c r="B52" s="2" t="s">
        <v>99</v>
      </c>
      <c r="C52" s="2" t="s">
        <v>1724</v>
      </c>
      <c r="D52" s="7" t="s">
        <v>1725</v>
      </c>
      <c r="E52" s="2" t="s">
        <v>11</v>
      </c>
      <c r="F52" s="2">
        <v>0.01</v>
      </c>
      <c r="G52" s="122" t="s">
        <v>141</v>
      </c>
    </row>
    <row r="53" spans="1:7" s="17" customFormat="1">
      <c r="A53" s="25" t="s">
        <v>10</v>
      </c>
      <c r="B53" s="24" t="s">
        <v>95</v>
      </c>
      <c r="C53" s="24" t="s">
        <v>1726</v>
      </c>
      <c r="D53" s="27" t="s">
        <v>1727</v>
      </c>
      <c r="E53" s="24" t="s">
        <v>11</v>
      </c>
      <c r="F53" s="24">
        <f>(F54/F55)*F56*F57</f>
        <v>500</v>
      </c>
      <c r="G53" s="24" t="s">
        <v>268</v>
      </c>
    </row>
    <row r="54" spans="1:7" ht="30">
      <c r="A54" s="3" t="s">
        <v>10</v>
      </c>
      <c r="B54" s="2" t="s">
        <v>99</v>
      </c>
      <c r="C54" s="2" t="s">
        <v>1728</v>
      </c>
      <c r="D54" s="7" t="s">
        <v>1729</v>
      </c>
      <c r="E54" s="2" t="s">
        <v>11</v>
      </c>
      <c r="F54" s="2">
        <v>500</v>
      </c>
      <c r="G54" s="122" t="s">
        <v>141</v>
      </c>
    </row>
    <row r="55" spans="1:7" ht="30">
      <c r="A55" s="3" t="s">
        <v>10</v>
      </c>
      <c r="B55" s="2" t="s">
        <v>99</v>
      </c>
      <c r="C55" s="2" t="s">
        <v>1730</v>
      </c>
      <c r="D55" s="7" t="s">
        <v>1731</v>
      </c>
      <c r="E55" s="2" t="s">
        <v>11</v>
      </c>
      <c r="F55" s="2">
        <v>10</v>
      </c>
      <c r="G55" s="122" t="s">
        <v>141</v>
      </c>
    </row>
    <row r="56" spans="1:7" ht="30">
      <c r="A56" s="3" t="s">
        <v>10</v>
      </c>
      <c r="B56" s="2" t="s">
        <v>99</v>
      </c>
      <c r="C56" s="2" t="s">
        <v>1732</v>
      </c>
      <c r="D56" s="7" t="s">
        <v>1733</v>
      </c>
      <c r="E56" s="2" t="s">
        <v>11</v>
      </c>
      <c r="F56" s="2">
        <v>100</v>
      </c>
      <c r="G56" s="122" t="s">
        <v>141</v>
      </c>
    </row>
    <row r="57" spans="1:7" s="17" customFormat="1" ht="30">
      <c r="A57" s="25" t="s">
        <v>10</v>
      </c>
      <c r="B57" s="24" t="s">
        <v>88</v>
      </c>
      <c r="C57" s="24" t="s">
        <v>867</v>
      </c>
      <c r="D57" s="27" t="s">
        <v>1734</v>
      </c>
      <c r="E57" s="24" t="s">
        <v>11</v>
      </c>
      <c r="F57" s="24">
        <f>Defaults!B22</f>
        <v>0.1</v>
      </c>
      <c r="G57" s="125" t="s">
        <v>141</v>
      </c>
    </row>
  </sheetData>
  <mergeCells count="6">
    <mergeCell ref="A42:F42"/>
    <mergeCell ref="A30:F30"/>
    <mergeCell ref="A26:F26"/>
    <mergeCell ref="A36:F36"/>
    <mergeCell ref="A39:F39"/>
    <mergeCell ref="A34:F3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10745-92E9-47A6-87C7-749CFB7B367E}">
  <dimension ref="A1:B8"/>
  <sheetViews>
    <sheetView workbookViewId="0"/>
  </sheetViews>
  <sheetFormatPr defaultColWidth="8.85546875" defaultRowHeight="15"/>
  <cols>
    <col min="1" max="1" width="19.42578125" customWidth="1"/>
    <col min="2" max="2" width="35.42578125" customWidth="1"/>
  </cols>
  <sheetData>
    <row r="1" spans="1:2">
      <c r="A1" s="23" t="s">
        <v>1735</v>
      </c>
    </row>
    <row r="2" spans="1:2">
      <c r="A2" s="22" t="s">
        <v>1736</v>
      </c>
      <c r="B2" s="10" t="s">
        <v>1737</v>
      </c>
    </row>
    <row r="3" spans="1:2">
      <c r="A3" s="20" t="s">
        <v>1738</v>
      </c>
      <c r="B3" t="s">
        <v>1739</v>
      </c>
    </row>
    <row r="4" spans="1:2">
      <c r="A4" s="20" t="s">
        <v>1740</v>
      </c>
      <c r="B4" t="s">
        <v>1741</v>
      </c>
    </row>
    <row r="5" spans="1:2">
      <c r="A5" s="20" t="s">
        <v>1742</v>
      </c>
      <c r="B5" t="s">
        <v>1743</v>
      </c>
    </row>
    <row r="6" spans="1:2">
      <c r="A6" s="21" t="s">
        <v>1744</v>
      </c>
      <c r="B6" t="s">
        <v>1745</v>
      </c>
    </row>
    <row r="7" spans="1:2">
      <c r="A7" s="20" t="s">
        <v>1746</v>
      </c>
      <c r="B7" t="s">
        <v>1747</v>
      </c>
    </row>
    <row r="8" spans="1:2">
      <c r="A8" t="s">
        <v>1748</v>
      </c>
      <c r="B8" t="s">
        <v>1749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82F62-593B-402E-AAE2-BA4118246EF0}">
  <dimension ref="A1:C19"/>
  <sheetViews>
    <sheetView workbookViewId="0">
      <selection activeCell="A15" sqref="A15:XFD15"/>
    </sheetView>
  </sheetViews>
  <sheetFormatPr defaultColWidth="8.85546875" defaultRowHeight="15"/>
  <cols>
    <col min="1" max="1" width="18.42578125" customWidth="1"/>
    <col min="2" max="2" width="22.42578125" customWidth="1"/>
    <col min="3" max="3" width="81.42578125" customWidth="1"/>
  </cols>
  <sheetData>
    <row r="1" spans="1:3">
      <c r="A1" s="3" t="s">
        <v>1750</v>
      </c>
      <c r="B1" s="3" t="s">
        <v>1751</v>
      </c>
      <c r="C1" s="3" t="s">
        <v>1752</v>
      </c>
    </row>
    <row r="2" spans="1:3" s="30" customFormat="1" ht="30">
      <c r="A2" s="58" t="s">
        <v>94</v>
      </c>
      <c r="B2" s="126" t="s">
        <v>141</v>
      </c>
      <c r="C2" s="126" t="s">
        <v>141</v>
      </c>
    </row>
    <row r="3" spans="1:3">
      <c r="A3" s="2" t="s">
        <v>98</v>
      </c>
      <c r="B3" s="2" t="s">
        <v>1656</v>
      </c>
      <c r="C3" s="2" t="s">
        <v>1753</v>
      </c>
    </row>
    <row r="4" spans="1:3">
      <c r="A4" s="2" t="s">
        <v>1663</v>
      </c>
      <c r="B4" s="2" t="s">
        <v>1658</v>
      </c>
      <c r="C4" s="2" t="s">
        <v>1754</v>
      </c>
    </row>
    <row r="5" spans="1:3">
      <c r="A5" s="2" t="s">
        <v>1669</v>
      </c>
      <c r="B5" s="2" t="s">
        <v>1664</v>
      </c>
      <c r="C5" s="2" t="s">
        <v>1755</v>
      </c>
    </row>
    <row r="6" spans="1:3">
      <c r="A6" s="2" t="s">
        <v>1674</v>
      </c>
      <c r="B6" s="2" t="s">
        <v>1672</v>
      </c>
      <c r="C6" s="2" t="s">
        <v>1756</v>
      </c>
    </row>
    <row r="7" spans="1:3" ht="20.25" customHeight="1">
      <c r="A7" s="122" t="s">
        <v>141</v>
      </c>
      <c r="B7" s="122" t="s">
        <v>141</v>
      </c>
      <c r="C7" s="122" t="s">
        <v>141</v>
      </c>
    </row>
    <row r="8" spans="1:3" s="30" customFormat="1" ht="30">
      <c r="A8" s="58" t="s">
        <v>184</v>
      </c>
      <c r="B8" s="126" t="s">
        <v>141</v>
      </c>
      <c r="C8" s="126" t="s">
        <v>141</v>
      </c>
    </row>
    <row r="9" spans="1:3">
      <c r="A9" s="2" t="s">
        <v>305</v>
      </c>
      <c r="B9" s="2" t="s">
        <v>1679</v>
      </c>
      <c r="C9" s="2" t="s">
        <v>1757</v>
      </c>
    </row>
    <row r="10" spans="1:3">
      <c r="A10" s="2" t="s">
        <v>1685</v>
      </c>
      <c r="B10" s="2" t="s">
        <v>1683</v>
      </c>
      <c r="C10" s="2" t="s">
        <v>1758</v>
      </c>
    </row>
    <row r="11" spans="1:3">
      <c r="A11" s="2" t="s">
        <v>1759</v>
      </c>
      <c r="B11" s="2" t="s">
        <v>1691</v>
      </c>
      <c r="C11" s="2" t="s">
        <v>1760</v>
      </c>
    </row>
    <row r="12" spans="1:3">
      <c r="A12" s="2" t="s">
        <v>187</v>
      </c>
      <c r="B12" s="2" t="s">
        <v>1701</v>
      </c>
      <c r="C12" s="2" t="s">
        <v>1761</v>
      </c>
    </row>
    <row r="13" spans="1:3">
      <c r="A13" s="2" t="s">
        <v>239</v>
      </c>
      <c r="B13" s="2" t="s">
        <v>1701</v>
      </c>
      <c r="C13" s="2" t="s">
        <v>1762</v>
      </c>
    </row>
    <row r="14" spans="1:3" ht="15.75" customHeight="1">
      <c r="A14" s="122" t="s">
        <v>141</v>
      </c>
      <c r="B14" s="122" t="s">
        <v>141</v>
      </c>
      <c r="C14" s="122" t="s">
        <v>141</v>
      </c>
    </row>
    <row r="15" spans="1:3" s="30" customFormat="1" ht="30">
      <c r="A15" s="58" t="s">
        <v>275</v>
      </c>
      <c r="B15" s="126" t="s">
        <v>141</v>
      </c>
      <c r="C15" s="126" t="s">
        <v>141</v>
      </c>
    </row>
    <row r="16" spans="1:3">
      <c r="A16" s="2" t="s">
        <v>245</v>
      </c>
      <c r="B16" s="2" t="s">
        <v>1710</v>
      </c>
      <c r="C16" s="2" t="s">
        <v>1763</v>
      </c>
    </row>
    <row r="17" spans="1:3">
      <c r="A17" s="2" t="s">
        <v>250</v>
      </c>
      <c r="B17" s="2" t="s">
        <v>1718</v>
      </c>
      <c r="C17" s="2" t="s">
        <v>1764</v>
      </c>
    </row>
    <row r="18" spans="1:3">
      <c r="A18" s="2" t="s">
        <v>262</v>
      </c>
      <c r="B18" s="2" t="s">
        <v>1720</v>
      </c>
      <c r="C18" s="2" t="s">
        <v>1765</v>
      </c>
    </row>
    <row r="19" spans="1:3">
      <c r="A19" s="2" t="s">
        <v>268</v>
      </c>
      <c r="B19" s="2" t="s">
        <v>1726</v>
      </c>
      <c r="C19" s="2" t="s">
        <v>1766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34075-4816-40BF-B8F9-6292A7C28317}">
  <dimension ref="A1:C18"/>
  <sheetViews>
    <sheetView workbookViewId="0">
      <selection activeCell="C16" sqref="C16"/>
    </sheetView>
  </sheetViews>
  <sheetFormatPr defaultColWidth="8.85546875" defaultRowHeight="15"/>
  <cols>
    <col min="1" max="1" width="16" customWidth="1"/>
    <col min="2" max="2" width="22.42578125" customWidth="1"/>
    <col min="3" max="3" width="113" customWidth="1"/>
  </cols>
  <sheetData>
    <row r="1" spans="1:3">
      <c r="A1" s="3" t="s">
        <v>1750</v>
      </c>
      <c r="B1" s="3" t="s">
        <v>1751</v>
      </c>
      <c r="C1" s="3" t="s">
        <v>1752</v>
      </c>
    </row>
    <row r="2" spans="1:3">
      <c r="A2" s="3" t="s">
        <v>98</v>
      </c>
      <c r="B2" s="2" t="s">
        <v>96</v>
      </c>
      <c r="C2" s="2" t="s">
        <v>1767</v>
      </c>
    </row>
    <row r="3" spans="1:3">
      <c r="A3" s="3" t="s">
        <v>1663</v>
      </c>
      <c r="B3" s="2" t="s">
        <v>102</v>
      </c>
      <c r="C3" s="2" t="s">
        <v>1768</v>
      </c>
    </row>
    <row r="4" spans="1:3">
      <c r="A4" s="3" t="s">
        <v>1669</v>
      </c>
      <c r="B4" s="2" t="s">
        <v>1769</v>
      </c>
      <c r="C4" s="16" t="s">
        <v>1770</v>
      </c>
    </row>
    <row r="5" spans="1:3">
      <c r="A5" s="3" t="s">
        <v>1674</v>
      </c>
      <c r="B5" s="2" t="s">
        <v>124</v>
      </c>
      <c r="C5" s="2" t="s">
        <v>1771</v>
      </c>
    </row>
    <row r="6" spans="1:3">
      <c r="A6" s="3" t="s">
        <v>305</v>
      </c>
      <c r="B6" s="2" t="s">
        <v>1772</v>
      </c>
      <c r="C6" s="2" t="s">
        <v>1773</v>
      </c>
    </row>
    <row r="7" spans="1:3">
      <c r="A7" s="3" t="s">
        <v>1685</v>
      </c>
      <c r="B7" s="2" t="s">
        <v>164</v>
      </c>
      <c r="C7" s="2" t="s">
        <v>1774</v>
      </c>
    </row>
    <row r="8" spans="1:3">
      <c r="A8" s="3" t="s">
        <v>1759</v>
      </c>
      <c r="B8" s="2" t="s">
        <v>172</v>
      </c>
      <c r="C8" s="2" t="s">
        <v>1775</v>
      </c>
    </row>
    <row r="9" spans="1:3">
      <c r="A9" s="3" t="s">
        <v>187</v>
      </c>
      <c r="B9" s="2" t="s">
        <v>185</v>
      </c>
      <c r="C9" s="2" t="s">
        <v>1776</v>
      </c>
    </row>
    <row r="10" spans="1:3">
      <c r="A10" s="3" t="s">
        <v>239</v>
      </c>
      <c r="B10" s="2" t="s">
        <v>237</v>
      </c>
      <c r="C10" s="2" t="s">
        <v>1777</v>
      </c>
    </row>
    <row r="11" spans="1:3">
      <c r="A11" s="3" t="s">
        <v>245</v>
      </c>
      <c r="B11" s="2" t="s">
        <v>243</v>
      </c>
      <c r="C11" s="2" t="s">
        <v>1778</v>
      </c>
    </row>
    <row r="12" spans="1:3">
      <c r="A12" s="3" t="s">
        <v>250</v>
      </c>
      <c r="B12" s="2" t="s">
        <v>248</v>
      </c>
      <c r="C12" s="2" t="s">
        <v>1779</v>
      </c>
    </row>
    <row r="13" spans="1:3">
      <c r="A13" s="3" t="s">
        <v>262</v>
      </c>
      <c r="B13" s="2" t="s">
        <v>260</v>
      </c>
      <c r="C13" s="2" t="s">
        <v>1780</v>
      </c>
    </row>
    <row r="14" spans="1:3">
      <c r="A14" s="3" t="s">
        <v>268</v>
      </c>
      <c r="B14" s="2" t="s">
        <v>266</v>
      </c>
      <c r="C14" s="2" t="s">
        <v>1781</v>
      </c>
    </row>
    <row r="15" spans="1:3">
      <c r="A15" s="3" t="s">
        <v>287</v>
      </c>
      <c r="B15" s="2" t="s">
        <v>285</v>
      </c>
      <c r="C15" s="2" t="s">
        <v>1782</v>
      </c>
    </row>
    <row r="16" spans="1:3">
      <c r="A16" s="3" t="s">
        <v>310</v>
      </c>
      <c r="B16" s="2" t="s">
        <v>297</v>
      </c>
      <c r="C16" s="2" t="s">
        <v>1783</v>
      </c>
    </row>
    <row r="17" spans="1:3">
      <c r="A17" s="3" t="s">
        <v>313</v>
      </c>
      <c r="B17" s="2" t="s">
        <v>311</v>
      </c>
      <c r="C17" s="2" t="s">
        <v>1784</v>
      </c>
    </row>
    <row r="18" spans="1:3">
      <c r="A18" s="3" t="s">
        <v>299</v>
      </c>
      <c r="B18" s="2" t="s">
        <v>297</v>
      </c>
      <c r="C18" s="2" t="s">
        <v>1785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4E6BD-5800-44E0-A369-D34D4A8C89D2}">
  <dimension ref="A1:H39"/>
  <sheetViews>
    <sheetView topLeftCell="A29" workbookViewId="0">
      <selection activeCell="F15" sqref="F15"/>
    </sheetView>
  </sheetViews>
  <sheetFormatPr defaultColWidth="8.85546875" defaultRowHeight="15"/>
  <cols>
    <col min="1" max="1" width="12.42578125" bestFit="1" customWidth="1"/>
    <col min="2" max="2" width="12.7109375" customWidth="1"/>
    <col min="3" max="3" width="15" customWidth="1"/>
    <col min="4" max="4" width="17" bestFit="1" customWidth="1"/>
    <col min="5" max="5" width="13.42578125" bestFit="1" customWidth="1"/>
    <col min="6" max="6" width="59" customWidth="1"/>
    <col min="7" max="7" width="25.42578125" customWidth="1"/>
    <col min="8" max="8" width="97.28515625" customWidth="1"/>
  </cols>
  <sheetData>
    <row r="1" spans="1:8" ht="56.25">
      <c r="A1" s="61" t="s">
        <v>0</v>
      </c>
      <c r="B1" s="61" t="s">
        <v>1</v>
      </c>
      <c r="C1" s="62" t="s">
        <v>323</v>
      </c>
      <c r="D1" s="61" t="s">
        <v>4</v>
      </c>
      <c r="E1" s="61" t="s">
        <v>5</v>
      </c>
      <c r="F1" s="63" t="s">
        <v>6</v>
      </c>
      <c r="G1" s="63" t="s">
        <v>7</v>
      </c>
      <c r="H1" s="62" t="s">
        <v>8</v>
      </c>
    </row>
    <row r="2" spans="1:8" ht="21">
      <c r="A2" s="243" t="s">
        <v>324</v>
      </c>
      <c r="B2" s="243"/>
      <c r="C2" s="243"/>
      <c r="D2" s="243"/>
      <c r="E2" s="243"/>
      <c r="F2" s="243"/>
      <c r="G2" s="243"/>
      <c r="H2" s="243"/>
    </row>
    <row r="3" spans="1:8" ht="30">
      <c r="A3" s="64" t="s">
        <v>11</v>
      </c>
      <c r="B3" s="64"/>
      <c r="C3" s="64" t="s">
        <v>11</v>
      </c>
      <c r="D3" s="64" t="s">
        <v>325</v>
      </c>
      <c r="E3" s="65" t="s">
        <v>326</v>
      </c>
      <c r="F3" s="66" t="s">
        <v>327</v>
      </c>
      <c r="G3" s="67">
        <f>SUM((G11*G12),(G29*G30))</f>
        <v>73.333333333333329</v>
      </c>
      <c r="H3" s="67" t="s">
        <v>328</v>
      </c>
    </row>
    <row r="4" spans="1:8" ht="47.25" customHeight="1">
      <c r="A4" s="243" t="s">
        <v>329</v>
      </c>
      <c r="B4" s="243"/>
      <c r="C4" s="243"/>
      <c r="D4" s="243"/>
      <c r="E4" s="243"/>
      <c r="F4" s="243"/>
      <c r="G4" s="243"/>
      <c r="H4" s="243"/>
    </row>
    <row r="5" spans="1:8" ht="23.25">
      <c r="A5" t="s">
        <v>10</v>
      </c>
      <c r="C5" t="s">
        <v>10</v>
      </c>
      <c r="D5" t="s">
        <v>12</v>
      </c>
      <c r="E5" s="68" t="s">
        <v>330</v>
      </c>
      <c r="F5" s="69" t="s">
        <v>331</v>
      </c>
      <c r="G5" t="s">
        <v>332</v>
      </c>
    </row>
    <row r="6" spans="1:8">
      <c r="A6" t="s">
        <v>10</v>
      </c>
      <c r="C6" t="s">
        <v>10</v>
      </c>
      <c r="D6" t="s">
        <v>12</v>
      </c>
      <c r="F6" s="69" t="s">
        <v>333</v>
      </c>
      <c r="G6" t="s">
        <v>334</v>
      </c>
    </row>
    <row r="7" spans="1:8" ht="75">
      <c r="A7" s="54" t="s">
        <v>10</v>
      </c>
      <c r="B7" s="54"/>
      <c r="C7" s="54" t="s">
        <v>10</v>
      </c>
      <c r="D7" s="54" t="s">
        <v>335</v>
      </c>
      <c r="E7" s="54"/>
      <c r="F7" s="70" t="s">
        <v>336</v>
      </c>
      <c r="G7" s="54" t="s">
        <v>337</v>
      </c>
      <c r="H7" s="52" t="s">
        <v>338</v>
      </c>
    </row>
    <row r="8" spans="1:8" ht="30">
      <c r="A8" s="54" t="s">
        <v>10</v>
      </c>
      <c r="B8" s="54"/>
      <c r="C8" s="54" t="s">
        <v>10</v>
      </c>
      <c r="D8" s="54" t="s">
        <v>335</v>
      </c>
      <c r="E8" s="54"/>
      <c r="F8" s="70" t="s">
        <v>339</v>
      </c>
      <c r="G8" s="54" t="s">
        <v>340</v>
      </c>
      <c r="H8" s="71" t="s">
        <v>341</v>
      </c>
    </row>
    <row r="9" spans="1:8" ht="21">
      <c r="A9" s="242" t="s">
        <v>342</v>
      </c>
      <c r="B9" s="242"/>
      <c r="C9" s="242"/>
      <c r="D9" s="242"/>
      <c r="E9" s="242"/>
      <c r="F9" s="242"/>
      <c r="G9" s="242"/>
      <c r="H9" s="242"/>
    </row>
    <row r="10" spans="1:8" ht="30">
      <c r="A10" s="64" t="s">
        <v>11</v>
      </c>
      <c r="B10" s="64"/>
      <c r="C10" s="64" t="s">
        <v>11</v>
      </c>
      <c r="D10" s="64" t="s">
        <v>325</v>
      </c>
      <c r="E10" s="72" t="s">
        <v>343</v>
      </c>
      <c r="F10" s="66" t="s">
        <v>344</v>
      </c>
      <c r="G10" s="67">
        <f>G11*G12</f>
        <v>36.666666666666664</v>
      </c>
      <c r="H10" s="67"/>
    </row>
    <row r="11" spans="1:8" ht="30">
      <c r="A11" t="s">
        <v>10</v>
      </c>
      <c r="C11" t="s">
        <v>10</v>
      </c>
      <c r="D11" t="s">
        <v>99</v>
      </c>
      <c r="E11" s="73" t="s">
        <v>345</v>
      </c>
      <c r="F11" s="69" t="s">
        <v>346</v>
      </c>
      <c r="G11" s="41">
        <v>20</v>
      </c>
      <c r="H11" s="41"/>
    </row>
    <row r="12" spans="1:8" ht="30">
      <c r="A12" s="64" t="s">
        <v>10</v>
      </c>
      <c r="B12" s="64"/>
      <c r="C12" s="64" t="s">
        <v>11</v>
      </c>
      <c r="D12" s="64" t="s">
        <v>325</v>
      </c>
      <c r="E12" s="74" t="s">
        <v>347</v>
      </c>
      <c r="F12" s="66" t="s">
        <v>348</v>
      </c>
      <c r="G12" s="67">
        <f>G14</f>
        <v>1.8333333333333333</v>
      </c>
      <c r="H12" s="75" t="s">
        <v>349</v>
      </c>
    </row>
    <row r="13" spans="1:8" ht="21">
      <c r="A13" s="242" t="s">
        <v>350</v>
      </c>
      <c r="B13" s="242"/>
      <c r="C13" s="242"/>
      <c r="D13" s="242"/>
      <c r="E13" s="242"/>
      <c r="F13" s="242"/>
      <c r="G13" s="242"/>
      <c r="H13" s="242"/>
    </row>
    <row r="14" spans="1:8" ht="30">
      <c r="A14" s="64" t="s">
        <v>11</v>
      </c>
      <c r="B14" s="64"/>
      <c r="C14" s="64" t="s">
        <v>11</v>
      </c>
      <c r="D14" s="64" t="s">
        <v>325</v>
      </c>
      <c r="E14" s="72" t="s">
        <v>347</v>
      </c>
      <c r="F14" s="66" t="s">
        <v>351</v>
      </c>
      <c r="G14" s="67">
        <f>G16*(44/12)</f>
        <v>1.8333333333333333</v>
      </c>
      <c r="H14" s="67" t="s">
        <v>352</v>
      </c>
    </row>
    <row r="15" spans="1:8" ht="30">
      <c r="A15" s="64" t="s">
        <v>11</v>
      </c>
      <c r="B15" s="64"/>
      <c r="C15" s="64" t="s">
        <v>11</v>
      </c>
      <c r="D15" s="64" t="s">
        <v>325</v>
      </c>
      <c r="E15" s="72" t="s">
        <v>347</v>
      </c>
      <c r="F15" s="66" t="s">
        <v>353</v>
      </c>
      <c r="G15" s="67">
        <f>G16*G17*(44/12)</f>
        <v>3.6666666666666665</v>
      </c>
      <c r="H15" s="67" t="s">
        <v>354</v>
      </c>
    </row>
    <row r="16" spans="1:8" ht="30">
      <c r="A16" t="s">
        <v>10</v>
      </c>
      <c r="C16" t="s">
        <v>10</v>
      </c>
      <c r="D16" t="s">
        <v>99</v>
      </c>
      <c r="E16" s="73" t="s">
        <v>355</v>
      </c>
      <c r="F16" s="69" t="s">
        <v>356</v>
      </c>
      <c r="G16" s="41">
        <v>0.5</v>
      </c>
      <c r="H16" s="41"/>
    </row>
    <row r="17" spans="1:8" ht="30">
      <c r="A17" t="s">
        <v>10</v>
      </c>
      <c r="C17" t="s">
        <v>10</v>
      </c>
      <c r="D17" t="s">
        <v>99</v>
      </c>
      <c r="E17" s="73" t="s">
        <v>357</v>
      </c>
      <c r="F17" s="69" t="s">
        <v>358</v>
      </c>
      <c r="G17" s="41">
        <v>2</v>
      </c>
      <c r="H17" s="41"/>
    </row>
    <row r="18" spans="1:8" ht="21">
      <c r="A18" s="242" t="s">
        <v>359</v>
      </c>
      <c r="B18" s="242"/>
      <c r="C18" s="242"/>
      <c r="D18" s="242"/>
      <c r="E18" s="242"/>
      <c r="F18" s="242"/>
      <c r="G18" s="242"/>
      <c r="H18" s="242"/>
    </row>
    <row r="19" spans="1:8" ht="30">
      <c r="A19" s="64" t="s">
        <v>11</v>
      </c>
      <c r="B19" s="64"/>
      <c r="C19" s="64" t="s">
        <v>11</v>
      </c>
      <c r="D19" s="64" t="s">
        <v>325</v>
      </c>
      <c r="E19" s="72" t="s">
        <v>347</v>
      </c>
      <c r="F19" s="75" t="s">
        <v>348</v>
      </c>
      <c r="G19" s="67">
        <f>G20*G21</f>
        <v>11.15</v>
      </c>
      <c r="H19" s="67"/>
    </row>
    <row r="20" spans="1:8" ht="30">
      <c r="A20" t="s">
        <v>10</v>
      </c>
      <c r="C20" t="s">
        <v>10</v>
      </c>
      <c r="D20" t="s">
        <v>99</v>
      </c>
      <c r="E20" s="73" t="s">
        <v>360</v>
      </c>
      <c r="F20" s="1" t="s">
        <v>361</v>
      </c>
      <c r="G20" s="41">
        <v>0.5</v>
      </c>
      <c r="H20" s="41"/>
    </row>
    <row r="21" spans="1:8" ht="30">
      <c r="A21" t="s">
        <v>10</v>
      </c>
      <c r="C21" t="s">
        <v>10</v>
      </c>
      <c r="D21" t="s">
        <v>99</v>
      </c>
      <c r="E21" s="73" t="s">
        <v>362</v>
      </c>
      <c r="F21" s="1" t="s">
        <v>363</v>
      </c>
      <c r="G21" s="41">
        <v>22.3</v>
      </c>
      <c r="H21" s="41"/>
    </row>
    <row r="22" spans="1:8" ht="53.25" customHeight="1">
      <c r="A22" s="243" t="s">
        <v>364</v>
      </c>
      <c r="B22" s="243"/>
      <c r="C22" s="243"/>
      <c r="D22" s="243"/>
      <c r="E22" s="243"/>
      <c r="F22" s="243"/>
      <c r="G22" s="243"/>
      <c r="H22" s="243"/>
    </row>
    <row r="23" spans="1:8" ht="23.25">
      <c r="A23" t="s">
        <v>10</v>
      </c>
      <c r="C23" t="s">
        <v>10</v>
      </c>
      <c r="D23" t="s">
        <v>12</v>
      </c>
      <c r="E23" s="73" t="s">
        <v>330</v>
      </c>
      <c r="F23" s="69" t="s">
        <v>331</v>
      </c>
      <c r="G23" t="s">
        <v>332</v>
      </c>
    </row>
    <row r="24" spans="1:8">
      <c r="A24" t="s">
        <v>10</v>
      </c>
      <c r="C24" t="s">
        <v>10</v>
      </c>
      <c r="D24" t="s">
        <v>12</v>
      </c>
      <c r="E24" s="76"/>
      <c r="F24" s="69" t="s">
        <v>333</v>
      </c>
      <c r="G24" t="s">
        <v>334</v>
      </c>
    </row>
    <row r="25" spans="1:8" ht="75">
      <c r="A25" s="54" t="s">
        <v>10</v>
      </c>
      <c r="B25" s="54"/>
      <c r="C25" s="54" t="s">
        <v>10</v>
      </c>
      <c r="D25" s="54" t="s">
        <v>127</v>
      </c>
      <c r="E25" s="77"/>
      <c r="F25" s="70" t="s">
        <v>336</v>
      </c>
      <c r="G25" s="54" t="s">
        <v>365</v>
      </c>
      <c r="H25" s="52" t="s">
        <v>338</v>
      </c>
    </row>
    <row r="26" spans="1:8" ht="30">
      <c r="A26" s="54" t="s">
        <v>10</v>
      </c>
      <c r="B26" s="54"/>
      <c r="C26" s="54" t="s">
        <v>10</v>
      </c>
      <c r="D26" s="54" t="s">
        <v>127</v>
      </c>
      <c r="E26" s="77"/>
      <c r="F26" s="70" t="s">
        <v>339</v>
      </c>
      <c r="G26" s="54" t="s">
        <v>366</v>
      </c>
      <c r="H26" s="71" t="s">
        <v>341</v>
      </c>
    </row>
    <row r="27" spans="1:8" ht="21">
      <c r="A27" s="242" t="s">
        <v>342</v>
      </c>
      <c r="B27" s="242"/>
      <c r="C27" s="242"/>
      <c r="D27" s="242"/>
      <c r="E27" s="242"/>
      <c r="F27" s="242"/>
      <c r="G27" s="242"/>
      <c r="H27" s="242"/>
    </row>
    <row r="28" spans="1:8" ht="30">
      <c r="A28" s="64" t="s">
        <v>11</v>
      </c>
      <c r="B28" s="64"/>
      <c r="C28" s="64" t="s">
        <v>11</v>
      </c>
      <c r="D28" s="64" t="s">
        <v>325</v>
      </c>
      <c r="E28" s="72" t="s">
        <v>343</v>
      </c>
      <c r="F28" s="66" t="s">
        <v>344</v>
      </c>
      <c r="G28" s="67">
        <f>G29*G30</f>
        <v>36.666666666666664</v>
      </c>
      <c r="H28" s="67"/>
    </row>
    <row r="29" spans="1:8" ht="30">
      <c r="A29" t="s">
        <v>10</v>
      </c>
      <c r="C29" t="s">
        <v>10</v>
      </c>
      <c r="D29" t="s">
        <v>99</v>
      </c>
      <c r="E29" s="73" t="s">
        <v>345</v>
      </c>
      <c r="F29" s="69" t="s">
        <v>346</v>
      </c>
      <c r="G29" s="41">
        <v>10</v>
      </c>
      <c r="H29" s="41"/>
    </row>
    <row r="30" spans="1:8" ht="30">
      <c r="A30" s="64" t="s">
        <v>10</v>
      </c>
      <c r="B30" s="64"/>
      <c r="C30" s="64" t="s">
        <v>10</v>
      </c>
      <c r="D30" s="64" t="s">
        <v>325</v>
      </c>
      <c r="E30" s="74" t="s">
        <v>347</v>
      </c>
      <c r="F30" s="66" t="s">
        <v>348</v>
      </c>
      <c r="G30" s="67">
        <f>G33</f>
        <v>3.6666666666666665</v>
      </c>
      <c r="H30" s="75" t="s">
        <v>367</v>
      </c>
    </row>
    <row r="31" spans="1:8" ht="21">
      <c r="A31" s="242" t="s">
        <v>350</v>
      </c>
      <c r="B31" s="242"/>
      <c r="C31" s="242"/>
      <c r="D31" s="242"/>
      <c r="E31" s="242"/>
      <c r="F31" s="242"/>
      <c r="G31" s="242"/>
      <c r="H31" s="242"/>
    </row>
    <row r="32" spans="1:8" ht="30">
      <c r="A32" s="64" t="s">
        <v>11</v>
      </c>
      <c r="B32" s="64"/>
      <c r="C32" s="64" t="s">
        <v>11</v>
      </c>
      <c r="D32" s="64" t="s">
        <v>325</v>
      </c>
      <c r="E32" s="72" t="s">
        <v>347</v>
      </c>
      <c r="F32" s="66" t="s">
        <v>351</v>
      </c>
      <c r="G32" s="67">
        <f>G34*(44/12)</f>
        <v>1.8333333333333333</v>
      </c>
      <c r="H32" s="67" t="s">
        <v>352</v>
      </c>
    </row>
    <row r="33" spans="1:8" ht="30">
      <c r="A33" s="64" t="s">
        <v>11</v>
      </c>
      <c r="B33" s="64"/>
      <c r="C33" s="64" t="s">
        <v>11</v>
      </c>
      <c r="D33" s="64" t="s">
        <v>325</v>
      </c>
      <c r="E33" s="72" t="s">
        <v>347</v>
      </c>
      <c r="F33" s="66" t="s">
        <v>353</v>
      </c>
      <c r="G33" s="67">
        <f>G34*G35*(44/12)</f>
        <v>3.6666666666666665</v>
      </c>
      <c r="H33" s="67" t="s">
        <v>354</v>
      </c>
    </row>
    <row r="34" spans="1:8" ht="30">
      <c r="A34" t="s">
        <v>10</v>
      </c>
      <c r="C34" t="s">
        <v>10</v>
      </c>
      <c r="D34" t="s">
        <v>99</v>
      </c>
      <c r="E34" s="73" t="s">
        <v>355</v>
      </c>
      <c r="F34" s="69" t="s">
        <v>356</v>
      </c>
      <c r="G34" s="41">
        <v>0.5</v>
      </c>
      <c r="H34" s="41"/>
    </row>
    <row r="35" spans="1:8" ht="30">
      <c r="A35" t="s">
        <v>10</v>
      </c>
      <c r="C35" t="s">
        <v>10</v>
      </c>
      <c r="D35" t="s">
        <v>99</v>
      </c>
      <c r="E35" s="73" t="s">
        <v>357</v>
      </c>
      <c r="F35" s="69" t="s">
        <v>358</v>
      </c>
      <c r="G35" s="41">
        <v>2</v>
      </c>
      <c r="H35" s="41"/>
    </row>
    <row r="36" spans="1:8" ht="21">
      <c r="A36" s="242" t="s">
        <v>359</v>
      </c>
      <c r="B36" s="242"/>
      <c r="C36" s="242"/>
      <c r="D36" s="242"/>
      <c r="E36" s="242"/>
      <c r="F36" s="242"/>
      <c r="G36" s="242"/>
      <c r="H36" s="242"/>
    </row>
    <row r="37" spans="1:8" ht="30">
      <c r="A37" s="64" t="s">
        <v>11</v>
      </c>
      <c r="B37" s="64"/>
      <c r="C37" s="64" t="s">
        <v>11</v>
      </c>
      <c r="D37" s="64" t="s">
        <v>325</v>
      </c>
      <c r="E37" s="72" t="s">
        <v>347</v>
      </c>
      <c r="F37" s="66" t="s">
        <v>348</v>
      </c>
      <c r="G37" s="67">
        <f>G38*G39</f>
        <v>11.15</v>
      </c>
      <c r="H37" s="67"/>
    </row>
    <row r="38" spans="1:8" ht="30">
      <c r="A38" t="s">
        <v>10</v>
      </c>
      <c r="C38" t="s">
        <v>10</v>
      </c>
      <c r="D38" t="s">
        <v>99</v>
      </c>
      <c r="E38" s="73" t="s">
        <v>360</v>
      </c>
      <c r="F38" s="69" t="s">
        <v>361</v>
      </c>
      <c r="G38" s="41">
        <v>0.5</v>
      </c>
      <c r="H38" s="41"/>
    </row>
    <row r="39" spans="1:8" ht="30">
      <c r="A39" t="s">
        <v>10</v>
      </c>
      <c r="C39" t="s">
        <v>10</v>
      </c>
      <c r="D39" t="s">
        <v>99</v>
      </c>
      <c r="E39" s="73" t="s">
        <v>362</v>
      </c>
      <c r="F39" s="69" t="s">
        <v>363</v>
      </c>
      <c r="G39" s="41">
        <v>22.3</v>
      </c>
      <c r="H39" s="41"/>
    </row>
  </sheetData>
  <mergeCells count="9">
    <mergeCell ref="A27:H27"/>
    <mergeCell ref="A31:H31"/>
    <mergeCell ref="A36:H36"/>
    <mergeCell ref="A2:H2"/>
    <mergeCell ref="A4:H4"/>
    <mergeCell ref="A9:H9"/>
    <mergeCell ref="A13:H13"/>
    <mergeCell ref="A18:H18"/>
    <mergeCell ref="A22:H22"/>
  </mergeCells>
  <dataValidations count="2">
    <dataValidation type="list" allowBlank="1" showInputMessage="1" showErrorMessage="1" sqref="G7 G25" xr:uid="{3561081B-344C-4EEF-9B88-2AF3E75D3E4F}">
      <formula1>"Option A,Option B"</formula1>
    </dataValidation>
    <dataValidation type="list" allowBlank="1" showInputMessage="1" showErrorMessage="1" sqref="G8 G26" xr:uid="{79896DA2-D137-4777-A327-8FF5E77308FA}">
      <formula1>"Mass,Volume"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4670D-C43A-3143-98B7-378EACCFAED2}">
  <dimension ref="A1:I87"/>
  <sheetViews>
    <sheetView workbookViewId="0">
      <pane xSplit="2" ySplit="23" topLeftCell="C79" activePane="bottomRight" state="frozen"/>
      <selection pane="topRight" activeCell="B1" sqref="B1"/>
      <selection pane="bottomLeft" activeCell="A19" sqref="A19"/>
      <selection pane="bottomRight" activeCell="B79" sqref="B79"/>
    </sheetView>
  </sheetViews>
  <sheetFormatPr defaultColWidth="8.85546875" defaultRowHeight="15"/>
  <cols>
    <col min="1" max="1" width="20.140625" customWidth="1"/>
    <col min="2" max="2" width="122.42578125" customWidth="1"/>
    <col min="3" max="3" width="20.7109375" customWidth="1"/>
    <col min="5" max="5" width="12.85546875" customWidth="1"/>
    <col min="6" max="6" width="12.7109375" customWidth="1"/>
    <col min="7" max="7" width="16.140625" customWidth="1"/>
    <col min="8" max="8" width="19" customWidth="1"/>
  </cols>
  <sheetData>
    <row r="1" spans="1:8">
      <c r="A1" t="s">
        <v>5</v>
      </c>
      <c r="B1" t="s">
        <v>6</v>
      </c>
      <c r="C1" t="s">
        <v>7</v>
      </c>
      <c r="D1" t="s">
        <v>368</v>
      </c>
      <c r="E1" t="s">
        <v>4</v>
      </c>
      <c r="F1" t="s">
        <v>8</v>
      </c>
      <c r="G1" t="s">
        <v>323</v>
      </c>
      <c r="H1" t="s">
        <v>1</v>
      </c>
    </row>
    <row r="2" spans="1:8" s="88" customFormat="1">
      <c r="B2" s="88" t="s">
        <v>369</v>
      </c>
    </row>
    <row r="3" spans="1:8">
      <c r="B3" t="s">
        <v>370</v>
      </c>
      <c r="C3" t="s">
        <v>371</v>
      </c>
      <c r="D3" t="s">
        <v>10</v>
      </c>
      <c r="E3" t="s">
        <v>372</v>
      </c>
      <c r="G3" t="s">
        <v>11</v>
      </c>
    </row>
    <row r="4" spans="1:8">
      <c r="B4" t="s">
        <v>373</v>
      </c>
      <c r="C4" t="s">
        <v>374</v>
      </c>
      <c r="D4" t="s">
        <v>10</v>
      </c>
      <c r="E4" t="s">
        <v>372</v>
      </c>
      <c r="F4" t="s">
        <v>375</v>
      </c>
      <c r="G4" t="s">
        <v>11</v>
      </c>
    </row>
    <row r="5" spans="1:8" ht="30">
      <c r="B5" s="1" t="s">
        <v>376</v>
      </c>
      <c r="C5" t="s">
        <v>11</v>
      </c>
      <c r="D5" t="s">
        <v>10</v>
      </c>
      <c r="E5" t="s">
        <v>372</v>
      </c>
      <c r="G5" t="s">
        <v>11</v>
      </c>
    </row>
    <row r="6" spans="1:8">
      <c r="B6" s="1" t="s">
        <v>377</v>
      </c>
      <c r="C6" t="s">
        <v>11</v>
      </c>
      <c r="D6" t="s">
        <v>10</v>
      </c>
      <c r="E6" t="s">
        <v>372</v>
      </c>
      <c r="G6" t="s">
        <v>11</v>
      </c>
    </row>
    <row r="7" spans="1:8">
      <c r="B7" s="1" t="s">
        <v>378</v>
      </c>
      <c r="C7" t="s">
        <v>10</v>
      </c>
      <c r="D7" t="s">
        <v>10</v>
      </c>
      <c r="E7" t="s">
        <v>372</v>
      </c>
      <c r="G7" t="s">
        <v>11</v>
      </c>
    </row>
    <row r="8" spans="1:8">
      <c r="B8" t="s">
        <v>379</v>
      </c>
      <c r="C8" t="s">
        <v>380</v>
      </c>
      <c r="D8" t="s">
        <v>10</v>
      </c>
      <c r="E8" t="s">
        <v>372</v>
      </c>
      <c r="G8" t="s">
        <v>11</v>
      </c>
    </row>
    <row r="9" spans="1:8">
      <c r="B9" t="s">
        <v>381</v>
      </c>
      <c r="C9" t="s">
        <v>382</v>
      </c>
      <c r="D9" t="s">
        <v>10</v>
      </c>
      <c r="E9" t="s">
        <v>372</v>
      </c>
      <c r="G9" t="s">
        <v>11</v>
      </c>
    </row>
    <row r="10" spans="1:8">
      <c r="B10" t="s">
        <v>383</v>
      </c>
      <c r="C10" t="s">
        <v>384</v>
      </c>
      <c r="D10" t="s">
        <v>10</v>
      </c>
      <c r="E10" t="s">
        <v>372</v>
      </c>
      <c r="G10" t="s">
        <v>11</v>
      </c>
    </row>
    <row r="11" spans="1:8" ht="30">
      <c r="B11" s="89" t="s">
        <v>385</v>
      </c>
      <c r="C11" t="s">
        <v>386</v>
      </c>
      <c r="D11" t="str">
        <f>IF(C8="Option 2 (Estimated)","Yes","NA")</f>
        <v>NA</v>
      </c>
      <c r="E11" t="s">
        <v>372</v>
      </c>
      <c r="G11" t="s">
        <v>11</v>
      </c>
    </row>
    <row r="12" spans="1:8">
      <c r="B12" s="89" t="s">
        <v>387</v>
      </c>
      <c r="C12" t="s">
        <v>11</v>
      </c>
      <c r="D12" t="str">
        <f>IF(C8="Option 2 (Estimated)","Yes","NA")</f>
        <v>NA</v>
      </c>
      <c r="E12" t="s">
        <v>372</v>
      </c>
      <c r="G12" t="s">
        <v>11</v>
      </c>
    </row>
    <row r="13" spans="1:8">
      <c r="B13" s="89" t="s">
        <v>388</v>
      </c>
      <c r="C13" t="s">
        <v>10</v>
      </c>
      <c r="D13" t="str">
        <f>IF(C8="Option 2 (Estimated)","Yes","NA")</f>
        <v>NA</v>
      </c>
      <c r="E13" t="s">
        <v>372</v>
      </c>
      <c r="G13" t="s">
        <v>11</v>
      </c>
    </row>
    <row r="14" spans="1:8">
      <c r="B14" s="89" t="s">
        <v>389</v>
      </c>
      <c r="C14" t="s">
        <v>390</v>
      </c>
      <c r="D14" t="str">
        <f>IF(C8="Option 2 (Estimated)","Yes","NA")</f>
        <v>NA</v>
      </c>
      <c r="E14" t="s">
        <v>372</v>
      </c>
      <c r="G14" t="s">
        <v>11</v>
      </c>
    </row>
    <row r="15" spans="1:8">
      <c r="B15" s="89" t="s">
        <v>391</v>
      </c>
      <c r="C15" t="s">
        <v>10</v>
      </c>
      <c r="D15" t="str">
        <f>IF(C8="Option 2 (Estimated)","Yes","NA")</f>
        <v>NA</v>
      </c>
      <c r="E15" t="s">
        <v>372</v>
      </c>
      <c r="G15" t="s">
        <v>11</v>
      </c>
    </row>
    <row r="16" spans="1:8">
      <c r="B16" s="89" t="s">
        <v>392</v>
      </c>
      <c r="C16" t="s">
        <v>11</v>
      </c>
      <c r="D16" t="str">
        <f>IF(C8="Option 2 (Estimated)","Yes","NA")</f>
        <v>NA</v>
      </c>
      <c r="E16" t="s">
        <v>372</v>
      </c>
      <c r="G16" t="s">
        <v>11</v>
      </c>
    </row>
    <row r="17" spans="2:7">
      <c r="B17" s="89" t="s">
        <v>393</v>
      </c>
      <c r="C17" t="s">
        <v>394</v>
      </c>
      <c r="D17" t="str">
        <f>IF(AND(C4="Application B",C6="Yes"),"Yes","No")</f>
        <v>No</v>
      </c>
      <c r="E17" t="s">
        <v>372</v>
      </c>
      <c r="G17" t="s">
        <v>11</v>
      </c>
    </row>
    <row r="18" spans="2:7">
      <c r="B18" s="89" t="s">
        <v>395</v>
      </c>
      <c r="C18" t="s">
        <v>11</v>
      </c>
      <c r="D18" t="str">
        <f>IF(C4="Application B","Yes","NA")</f>
        <v>NA</v>
      </c>
      <c r="E18" t="s">
        <v>372</v>
      </c>
      <c r="G18" t="s">
        <v>11</v>
      </c>
    </row>
    <row r="19" spans="2:7">
      <c r="B19" s="89" t="s">
        <v>396</v>
      </c>
      <c r="C19" t="s">
        <v>397</v>
      </c>
      <c r="D19" t="str">
        <f>IF(AND(C4="Application B",C18="Yes"),"NA","Yes")</f>
        <v>Yes</v>
      </c>
      <c r="E19" t="s">
        <v>372</v>
      </c>
      <c r="G19" t="s">
        <v>11</v>
      </c>
    </row>
    <row r="20" spans="2:7">
      <c r="B20" t="s">
        <v>398</v>
      </c>
      <c r="C20" t="s">
        <v>399</v>
      </c>
      <c r="D20" t="s">
        <v>10</v>
      </c>
      <c r="E20" t="s">
        <v>372</v>
      </c>
      <c r="F20" t="s">
        <v>400</v>
      </c>
      <c r="G20" t="s">
        <v>11</v>
      </c>
    </row>
    <row r="21" spans="2:7">
      <c r="B21" s="89" t="s">
        <v>401</v>
      </c>
      <c r="C21" t="s">
        <v>402</v>
      </c>
      <c r="D21" t="str">
        <f>IF(C20="Default","Yes","NA")</f>
        <v>Yes</v>
      </c>
      <c r="E21" t="s">
        <v>372</v>
      </c>
      <c r="G21" t="s">
        <v>11</v>
      </c>
    </row>
    <row r="22" spans="2:7">
      <c r="B22" s="89" t="s">
        <v>403</v>
      </c>
      <c r="D22" t="str">
        <f>IF(C21="Other","Yes","NA")</f>
        <v>NA</v>
      </c>
      <c r="E22" t="s">
        <v>372</v>
      </c>
      <c r="G22" t="s">
        <v>11</v>
      </c>
    </row>
    <row r="23" spans="2:7">
      <c r="B23" s="89" t="s">
        <v>404</v>
      </c>
      <c r="C23" t="s">
        <v>11</v>
      </c>
      <c r="D23" t="s">
        <v>10</v>
      </c>
      <c r="E23" t="s">
        <v>372</v>
      </c>
      <c r="G23" t="s">
        <v>11</v>
      </c>
    </row>
    <row r="24" spans="2:7" s="88" customFormat="1">
      <c r="B24" s="88" t="s">
        <v>405</v>
      </c>
    </row>
    <row r="25" spans="2:7">
      <c r="B25" s="90" t="s">
        <v>406</v>
      </c>
    </row>
    <row r="26" spans="2:7">
      <c r="B26" t="s">
        <v>407</v>
      </c>
      <c r="C26" s="64">
        <f>IF(C8="Option 2 (Estimated)","NA",IF(C4="Application A",0.75,IF(AND(C4="Application B",C9="Humid/wet conditions"),0.85,IF(AND(C4="Application B",C9="Dry conditions"),0.8,))))</f>
        <v>0.75</v>
      </c>
      <c r="D26" t="str">
        <f>IF(C8="Option 1 (Default)","Yes","NA")</f>
        <v>Yes</v>
      </c>
      <c r="E26" t="s">
        <v>408</v>
      </c>
      <c r="G26" t="s">
        <v>11</v>
      </c>
    </row>
    <row r="27" spans="2:7">
      <c r="B27" s="90" t="s">
        <v>409</v>
      </c>
    </row>
    <row r="28" spans="2:7">
      <c r="B28" t="s">
        <v>410</v>
      </c>
      <c r="C28" s="91" t="str">
        <f>IF(C8="Option 1 (Default)","NA",IF(C11="Weighed",0.02,IF(C11="Estimated",0.1)))</f>
        <v>NA</v>
      </c>
      <c r="D28" t="str">
        <f>IF(C8="Option 2 (Estimated)","Yes","NA")</f>
        <v>NA</v>
      </c>
      <c r="E28" t="s">
        <v>408</v>
      </c>
      <c r="G28" t="s">
        <v>11</v>
      </c>
    </row>
    <row r="29" spans="2:7">
      <c r="B29" t="s">
        <v>411</v>
      </c>
      <c r="C29" s="91" t="str">
        <f>IF(C8="Option 1 (Default)","NA",IF(C20="Measure",0.05,IF(C20="Default",0.1)))</f>
        <v>NA</v>
      </c>
      <c r="D29" t="str">
        <f>IF(C8="Option 2 (Estimated)","Yes","NA")</f>
        <v>NA</v>
      </c>
      <c r="E29" t="s">
        <v>408</v>
      </c>
      <c r="G29" t="s">
        <v>11</v>
      </c>
    </row>
    <row r="30" spans="2:7">
      <c r="B30" t="s">
        <v>412</v>
      </c>
      <c r="C30" s="91" t="str">
        <f>IF(C8="Option 1 (Default)","NA",IF(OR(C12="Yes",C13="Yes"),0.05,0.15))</f>
        <v>NA</v>
      </c>
      <c r="D30" t="str">
        <f>IF(C8="Option 2 (Estimated)","Yes","NA")</f>
        <v>NA</v>
      </c>
      <c r="E30" t="s">
        <v>408</v>
      </c>
      <c r="G30" t="s">
        <v>11</v>
      </c>
    </row>
    <row r="31" spans="2:7">
      <c r="B31" t="s">
        <v>413</v>
      </c>
      <c r="C31" s="91" t="str">
        <f>IF(C8="Option 1 (Default)","NA",IF(C12="Yes",0,0.05))</f>
        <v>NA</v>
      </c>
      <c r="D31" t="str">
        <f>IF(C8="Option 2 (Estimated)","Yes","NA")</f>
        <v>NA</v>
      </c>
      <c r="E31" t="s">
        <v>408</v>
      </c>
      <c r="G31" t="s">
        <v>11</v>
      </c>
    </row>
    <row r="32" spans="2:7">
      <c r="B32" t="s">
        <v>414</v>
      </c>
      <c r="C32" s="91" t="str">
        <f>IF(C8="Option 1 (Default)","NA",IF(C14="Managed",0,IF(C14="Unmanaged",0.5)))</f>
        <v>NA</v>
      </c>
      <c r="D32" t="str">
        <f>IF(C8="Option 2 (Estimated)","Yes","NA")</f>
        <v>NA</v>
      </c>
      <c r="E32" t="s">
        <v>408</v>
      </c>
      <c r="G32" t="s">
        <v>11</v>
      </c>
    </row>
    <row r="33" spans="1:7" ht="17.25">
      <c r="B33" t="s">
        <v>415</v>
      </c>
      <c r="C33" s="91" t="str">
        <f>IF(C8="Option 1 (Default)","NA",IF(AND(C4="Application B",C15="Yes",C84&gt;0.2),0.05,IF(AND(C4="Application A",C16="Yes"),0.05,0.2)))</f>
        <v>NA</v>
      </c>
      <c r="D33" t="str">
        <f>IF(C8="Option 2 (Estimated)","Yes","NA")</f>
        <v>NA</v>
      </c>
      <c r="E33" t="s">
        <v>408</v>
      </c>
      <c r="G33" t="s">
        <v>11</v>
      </c>
    </row>
    <row r="34" spans="1:7">
      <c r="A34" t="s">
        <v>416</v>
      </c>
      <c r="B34" t="s">
        <v>417</v>
      </c>
      <c r="C34" s="64" t="str">
        <f>IF(C8="Option 1 (Default)","NA",SQRT(C28^2+C29^2+C30^2+C31^2+C32^2+C33^2))</f>
        <v>NA</v>
      </c>
      <c r="D34" t="str">
        <f>IF(C8="Option 2 (Estimated)","Yes","NA")</f>
        <v>NA</v>
      </c>
      <c r="E34" t="s">
        <v>408</v>
      </c>
      <c r="G34" t="s">
        <v>11</v>
      </c>
    </row>
    <row r="35" spans="1:7">
      <c r="A35" t="s">
        <v>418</v>
      </c>
      <c r="B35" t="s">
        <v>419</v>
      </c>
      <c r="C35" s="64" t="str">
        <f>IF(C8="Option 1 (Default)","NA",1/(1+C34))</f>
        <v>NA</v>
      </c>
      <c r="D35" t="str">
        <f>IF(C8="Option 2 (Estimated)","Yes","NA")</f>
        <v>NA</v>
      </c>
      <c r="E35" t="s">
        <v>408</v>
      </c>
      <c r="G35" t="s">
        <v>11</v>
      </c>
    </row>
    <row r="36" spans="1:7" s="88" customFormat="1">
      <c r="B36" s="88" t="s">
        <v>420</v>
      </c>
    </row>
    <row r="37" spans="1:7">
      <c r="B37" s="90" t="s">
        <v>374</v>
      </c>
    </row>
    <row r="38" spans="1:7">
      <c r="A38" t="s">
        <v>421</v>
      </c>
      <c r="B38" t="s">
        <v>422</v>
      </c>
      <c r="D38" t="str">
        <f>IF(C4="Application A","Yes","NA")</f>
        <v>Yes</v>
      </c>
      <c r="E38" t="s">
        <v>99</v>
      </c>
      <c r="G38" t="s">
        <v>11</v>
      </c>
    </row>
    <row r="39" spans="1:7">
      <c r="B39" s="90" t="s">
        <v>423</v>
      </c>
    </row>
    <row r="40" spans="1:7">
      <c r="A40" t="s">
        <v>424</v>
      </c>
      <c r="B40" s="1" t="s">
        <v>425</v>
      </c>
      <c r="D40" t="str">
        <f>IF(AND(C4="Application B",C23="No"),"Yes","NA")</f>
        <v>NA</v>
      </c>
      <c r="E40" t="s">
        <v>99</v>
      </c>
      <c r="G40" t="s">
        <v>10</v>
      </c>
    </row>
    <row r="41" spans="1:7">
      <c r="B41" s="92" t="s">
        <v>426</v>
      </c>
    </row>
    <row r="42" spans="1:7">
      <c r="A42" t="s">
        <v>427</v>
      </c>
      <c r="B42" s="1" t="s">
        <v>428</v>
      </c>
      <c r="D42" t="str">
        <f>IF(AND(C4="Application B",C23="No"),"Yes","NA")</f>
        <v>NA</v>
      </c>
      <c r="E42" t="s">
        <v>99</v>
      </c>
      <c r="G42" t="s">
        <v>11</v>
      </c>
    </row>
    <row r="43" spans="1:7">
      <c r="A43" t="s">
        <v>429</v>
      </c>
      <c r="B43" t="s">
        <v>430</v>
      </c>
      <c r="D43" t="str">
        <f>IF(C4="Application B","Yes","NA")</f>
        <v>NA</v>
      </c>
      <c r="E43" t="s">
        <v>99</v>
      </c>
      <c r="G43" t="s">
        <v>11</v>
      </c>
    </row>
    <row r="44" spans="1:7">
      <c r="A44" t="s">
        <v>431</v>
      </c>
      <c r="B44" t="s">
        <v>432</v>
      </c>
      <c r="C44" s="64" t="str">
        <f>IF(C4="Application A","NA",C40/C42)</f>
        <v>NA</v>
      </c>
      <c r="D44" t="str">
        <f>IF(AND(C4="Application B",C23="No"),"Yes","NA")</f>
        <v>NA</v>
      </c>
      <c r="E44" t="s">
        <v>408</v>
      </c>
      <c r="G44" t="s">
        <v>11</v>
      </c>
    </row>
    <row r="45" spans="1:7">
      <c r="A45" t="s">
        <v>433</v>
      </c>
      <c r="B45" t="s">
        <v>434</v>
      </c>
      <c r="C45" s="64" t="str">
        <f>IF(C4="Application A","NA",C43*C44)</f>
        <v>NA</v>
      </c>
      <c r="D45" t="str">
        <f>IF(AND(C4="Application B",C23="No"),"Yes","NA")</f>
        <v>NA</v>
      </c>
      <c r="E45" t="s">
        <v>408</v>
      </c>
      <c r="G45" t="s">
        <v>11</v>
      </c>
    </row>
    <row r="46" spans="1:7" s="88" customFormat="1">
      <c r="B46" s="88" t="s">
        <v>435</v>
      </c>
    </row>
    <row r="47" spans="1:7">
      <c r="B47" s="90" t="s">
        <v>399</v>
      </c>
    </row>
    <row r="48" spans="1:7">
      <c r="A48" t="s">
        <v>436</v>
      </c>
      <c r="B48" t="s">
        <v>437</v>
      </c>
      <c r="C48" s="64">
        <f>IF(AND(C4="Application B",C6="Yes",C17="Default"),0.05,IF((C4="Application A"),0.05,"NA"))</f>
        <v>0.05</v>
      </c>
      <c r="D48" t="str">
        <f>IF(AND(C4="Application B",C6="Yes",C17="Default"),"Yes",IF((C4="Application A"),"Yes","NA"))</f>
        <v>Yes</v>
      </c>
      <c r="E48" t="s">
        <v>408</v>
      </c>
      <c r="G48" t="s">
        <v>11</v>
      </c>
    </row>
    <row r="49" spans="1:9">
      <c r="B49" s="90" t="s">
        <v>438</v>
      </c>
    </row>
    <row r="50" spans="1:9">
      <c r="A50" t="s">
        <v>439</v>
      </c>
      <c r="B50" s="41" t="s">
        <v>440</v>
      </c>
      <c r="D50" t="str">
        <f>IF(AND(C4="Application B",C6="yes",C17="Measure"),"Yes","NA")</f>
        <v>NA</v>
      </c>
      <c r="E50" t="s">
        <v>99</v>
      </c>
      <c r="G50" t="s">
        <v>11</v>
      </c>
    </row>
    <row r="51" spans="1:9">
      <c r="A51" t="s">
        <v>150</v>
      </c>
      <c r="B51" t="s">
        <v>441</v>
      </c>
      <c r="D51" t="str">
        <f>IF(AND(C4="Application B",C6="yes",C17="Measure"),"Yes","NA")</f>
        <v>NA</v>
      </c>
      <c r="E51" t="s">
        <v>99</v>
      </c>
      <c r="G51" t="s">
        <v>11</v>
      </c>
    </row>
    <row r="52" spans="1:9">
      <c r="A52" t="s">
        <v>442</v>
      </c>
      <c r="B52" t="s">
        <v>443</v>
      </c>
      <c r="D52" t="str">
        <f>IF(AND(C4="Application B",C6="yes",C17="Measure"),"Yes","NA")</f>
        <v>NA</v>
      </c>
      <c r="E52" t="s">
        <v>99</v>
      </c>
      <c r="G52" t="s">
        <v>11</v>
      </c>
    </row>
    <row r="53" spans="1:9">
      <c r="A53" t="s">
        <v>444</v>
      </c>
      <c r="B53" t="s">
        <v>445</v>
      </c>
      <c r="D53" t="str">
        <f>IF(AND(C4="Application B",C6="yes",C17="Measure"),"Yes","NA")</f>
        <v>NA</v>
      </c>
      <c r="E53" t="s">
        <v>99</v>
      </c>
      <c r="G53" t="s">
        <v>11</v>
      </c>
    </row>
    <row r="54" spans="1:9">
      <c r="A54" t="s">
        <v>446</v>
      </c>
      <c r="B54" t="s">
        <v>437</v>
      </c>
      <c r="C54" s="64" t="str">
        <f>IF(AND(C4="Application B",C6="Yes",C17="Measure"),0.7*(12/16)*C50/C51*(C52*C53),"NA")</f>
        <v>NA</v>
      </c>
      <c r="D54" t="str">
        <f>IF(AND(C4="Application B",C6="yes",C17="Measure"),"Yes","NA")</f>
        <v>NA</v>
      </c>
      <c r="E54" t="s">
        <v>408</v>
      </c>
      <c r="G54" t="s">
        <v>11</v>
      </c>
    </row>
    <row r="55" spans="1:9">
      <c r="B55" s="90" t="s">
        <v>447</v>
      </c>
    </row>
    <row r="56" spans="1:9">
      <c r="A56" t="s">
        <v>448</v>
      </c>
      <c r="B56" s="89" t="s">
        <v>449</v>
      </c>
      <c r="D56" t="str">
        <f>IF(AND(C4="Application B",C7="yes"),"Yes","NA")</f>
        <v>NA</v>
      </c>
      <c r="E56" t="s">
        <v>99</v>
      </c>
      <c r="G56" t="s">
        <v>11</v>
      </c>
    </row>
    <row r="57" spans="1:9">
      <c r="A57" t="s">
        <v>150</v>
      </c>
      <c r="B57" t="s">
        <v>441</v>
      </c>
      <c r="D57" t="str">
        <f>IF(AND(C4="Application B",C7="yes"),"Yes","NA")</f>
        <v>NA</v>
      </c>
      <c r="E57" t="s">
        <v>99</v>
      </c>
      <c r="G57" t="s">
        <v>11</v>
      </c>
      <c r="I57" s="41"/>
    </row>
    <row r="58" spans="1:9">
      <c r="A58" t="s">
        <v>444</v>
      </c>
      <c r="B58" t="s">
        <v>445</v>
      </c>
      <c r="D58" t="str">
        <f>IF(AND(C4="Application B",C7="yes"),"Yes","NA")</f>
        <v>NA</v>
      </c>
      <c r="E58" t="s">
        <v>99</v>
      </c>
      <c r="G58" t="s">
        <v>11</v>
      </c>
    </row>
    <row r="59" spans="1:9">
      <c r="A59" t="s">
        <v>446</v>
      </c>
      <c r="B59" s="41" t="s">
        <v>437</v>
      </c>
      <c r="C59" s="64" t="str">
        <f>IF(AND(C4="Application B",C7="Yes"),0.7*(12/16)*C56/(C57*C58),"NA")</f>
        <v>NA</v>
      </c>
      <c r="D59" t="str">
        <f>IF(AND(C4="Application B",C7="yes"),"Yes","NA")</f>
        <v>NA</v>
      </c>
      <c r="E59" t="s">
        <v>408</v>
      </c>
      <c r="G59" t="s">
        <v>11</v>
      </c>
    </row>
    <row r="60" spans="1:9" s="88" customFormat="1">
      <c r="B60" s="88" t="s">
        <v>450</v>
      </c>
    </row>
    <row r="61" spans="1:9">
      <c r="B61" s="90" t="s">
        <v>399</v>
      </c>
    </row>
    <row r="62" spans="1:9">
      <c r="A62" t="s">
        <v>451</v>
      </c>
      <c r="B62" t="s">
        <v>452</v>
      </c>
      <c r="C62" s="64">
        <f>IF(AND(C4="Application B",C18="Yes"),"NA",IF(C19="Anaerobic managed solid waste disposal sites",1, IF(C19="Semi-aerobic managed solid waste disposal sites",0.5,IF(C19="Unmanaged solid waste disposal sites – deep",0.8,IF(C19="Unmanaged-shallow solid waste disposal sites or stockpiles that are considered SWDS",0.4)))))</f>
        <v>0.8</v>
      </c>
      <c r="D62" t="str">
        <f>IF(AND(C4="Application B",C18="Yes"),"NA","Yes")</f>
        <v>Yes</v>
      </c>
      <c r="E62" t="s">
        <v>408</v>
      </c>
      <c r="G62" t="s">
        <v>11</v>
      </c>
    </row>
    <row r="63" spans="1:9">
      <c r="B63" s="90" t="s">
        <v>453</v>
      </c>
    </row>
    <row r="64" spans="1:9">
      <c r="A64" t="s">
        <v>454</v>
      </c>
      <c r="B64" t="s">
        <v>455</v>
      </c>
      <c r="D64" t="str">
        <f>IF(AND(C4="Application B",C18="Yes"),"Yes","NA")</f>
        <v>NA</v>
      </c>
      <c r="E64" t="s">
        <v>99</v>
      </c>
      <c r="G64" t="s">
        <v>11</v>
      </c>
    </row>
    <row r="65" spans="1:7">
      <c r="A65" t="s">
        <v>456</v>
      </c>
      <c r="B65" t="s">
        <v>457</v>
      </c>
      <c r="D65" t="str">
        <f>IF(AND(C4="Application B",C18="Yes"),"Yes","NA")</f>
        <v>NA</v>
      </c>
      <c r="E65" t="s">
        <v>99</v>
      </c>
      <c r="G65" t="s">
        <v>11</v>
      </c>
    </row>
    <row r="66" spans="1:7">
      <c r="A66" t="s">
        <v>458</v>
      </c>
      <c r="B66" t="s">
        <v>452</v>
      </c>
      <c r="C66" s="64" t="str">
        <f>IF(AND(C4="Application B",C18="yes"),MAX((1-2/C65),C64/C65), "NA")</f>
        <v>NA</v>
      </c>
      <c r="D66" t="str">
        <f>IF(AND(C4="Application B",C18="Yes"),"Yes","NA")</f>
        <v>NA</v>
      </c>
      <c r="E66" t="s">
        <v>408</v>
      </c>
      <c r="G66" t="s">
        <v>11</v>
      </c>
    </row>
    <row r="67" spans="1:7" s="88" customFormat="1">
      <c r="B67" s="88" t="s">
        <v>459</v>
      </c>
    </row>
    <row r="68" spans="1:7">
      <c r="B68" s="90" t="s">
        <v>399</v>
      </c>
    </row>
    <row r="69" spans="1:7">
      <c r="A69" t="s">
        <v>460</v>
      </c>
      <c r="B69" t="s">
        <v>445</v>
      </c>
      <c r="C69" s="91">
        <f>IF(AND(C20="Default",C21="Wood and wood products"),0.43,IF(AND(C20="Default",C21="Pulp, paper and cardboard (other than sludge)"),0.4,IF(AND(C20="Default",C21="Food, food waste, beverages and tobacco (other than sludge)"),0.15,IF(AND(C20="Default",C21="Textiles"),0.24,IF(AND(C20="Default",C21="Garden, yard and park waste"),0.2,IF(AND(C20="Default",C21="Glass, plastic, metal, other inert waste"),0, IF(AND(C20="Default",C21="Empty fruit brunches (EFB)"),0.2,IF(AND(C20="Default",C21="Industrial sludge"),0.09,IF(AND(C20="Default",C21="Domestic sludge"),0.05,"NA")))))))))</f>
        <v>0.4</v>
      </c>
      <c r="D69" t="str">
        <f>IF(AND(C4="Application B",C20="Measure"),"NA","Yes")</f>
        <v>Yes</v>
      </c>
      <c r="E69" t="s">
        <v>408</v>
      </c>
      <c r="G69" t="s">
        <v>11</v>
      </c>
    </row>
    <row r="70" spans="1:7">
      <c r="B70" s="90" t="s">
        <v>461</v>
      </c>
    </row>
    <row r="71" spans="1:7">
      <c r="A71" t="s">
        <v>462</v>
      </c>
      <c r="B71" t="s">
        <v>445</v>
      </c>
      <c r="D71" t="str">
        <f>IF(AND(C4="Application B",C20="Measure"),"Yes","NA")</f>
        <v>NA</v>
      </c>
      <c r="E71" t="s">
        <v>99</v>
      </c>
      <c r="G71" t="s">
        <v>11</v>
      </c>
    </row>
    <row r="72" spans="1:7" s="88" customFormat="1" ht="18.75">
      <c r="B72" s="93" t="s">
        <v>463</v>
      </c>
    </row>
    <row r="73" spans="1:7" ht="30">
      <c r="A73" t="s">
        <v>464</v>
      </c>
      <c r="B73" s="1" t="s">
        <v>465</v>
      </c>
      <c r="D73" t="s">
        <v>10</v>
      </c>
      <c r="E73" t="s">
        <v>99</v>
      </c>
      <c r="G73" t="s">
        <v>11</v>
      </c>
    </row>
    <row r="74" spans="1:7">
      <c r="A74" t="s">
        <v>466</v>
      </c>
      <c r="B74" t="s">
        <v>467</v>
      </c>
      <c r="D74" t="s">
        <v>10</v>
      </c>
      <c r="E74" t="s">
        <v>99</v>
      </c>
      <c r="G74" t="s">
        <v>11</v>
      </c>
    </row>
    <row r="75" spans="1:7">
      <c r="A75" t="s">
        <v>446</v>
      </c>
      <c r="B75" t="s">
        <v>437</v>
      </c>
      <c r="C75" s="64">
        <f>IF(C4="Application A",C48,IF(AND(C4="Application B",C6="Yes",C17="Default"),C48,IF(AND(C4="Application B",C6="Yes",C17="Measure"),C54, IF(AND(C4="Application B",C7="Yes",C17="Measure"),C59))))</f>
        <v>0.05</v>
      </c>
      <c r="D75" t="s">
        <v>10</v>
      </c>
      <c r="E75" t="s">
        <v>408</v>
      </c>
      <c r="G75" t="s">
        <v>11</v>
      </c>
    </row>
    <row r="76" spans="1:7">
      <c r="A76" t="s">
        <v>468</v>
      </c>
      <c r="B76" t="s">
        <v>434</v>
      </c>
      <c r="C76" s="64">
        <f>IF(C4="Application A",C38,IF(AND(C4="Application B",C23="No"),C45,IF(AND(C4="Application B",C23="Yes"),C43)))</f>
        <v>0</v>
      </c>
      <c r="D76" t="s">
        <v>10</v>
      </c>
      <c r="E76" t="s">
        <v>408</v>
      </c>
      <c r="G76" t="s">
        <v>11</v>
      </c>
    </row>
    <row r="77" spans="1:7">
      <c r="A77" t="s">
        <v>418</v>
      </c>
      <c r="B77" t="s">
        <v>419</v>
      </c>
      <c r="C77" s="64">
        <f>IF(C8="Option 1 (Default)",C26,C35)</f>
        <v>0.75</v>
      </c>
      <c r="D77" t="s">
        <v>10</v>
      </c>
      <c r="E77" t="s">
        <v>408</v>
      </c>
      <c r="G77" t="s">
        <v>11</v>
      </c>
    </row>
    <row r="78" spans="1:7" ht="15.75" thickBot="1">
      <c r="A78" t="s">
        <v>469</v>
      </c>
      <c r="B78" t="s">
        <v>470</v>
      </c>
      <c r="D78" t="s">
        <v>10</v>
      </c>
      <c r="E78" t="s">
        <v>99</v>
      </c>
      <c r="G78" t="s">
        <v>11</v>
      </c>
    </row>
    <row r="79" spans="1:7" ht="15.75" thickBot="1">
      <c r="A79" t="s">
        <v>121</v>
      </c>
      <c r="B79" t="s">
        <v>471</v>
      </c>
      <c r="C79" s="94">
        <v>28</v>
      </c>
      <c r="D79" t="s">
        <v>10</v>
      </c>
      <c r="E79" t="s">
        <v>472</v>
      </c>
      <c r="G79" t="s">
        <v>11</v>
      </c>
    </row>
    <row r="80" spans="1:7" ht="15.75" thickBot="1">
      <c r="A80" t="s">
        <v>473</v>
      </c>
      <c r="B80" t="s">
        <v>474</v>
      </c>
      <c r="C80" s="94">
        <v>0.1</v>
      </c>
      <c r="D80" t="s">
        <v>10</v>
      </c>
      <c r="E80" t="s">
        <v>472</v>
      </c>
      <c r="G80" t="s">
        <v>11</v>
      </c>
    </row>
    <row r="81" spans="1:7" ht="15.75" thickBot="1">
      <c r="A81" t="s">
        <v>150</v>
      </c>
      <c r="B81" t="s">
        <v>441</v>
      </c>
      <c r="C81" s="94">
        <v>0.5</v>
      </c>
      <c r="D81" t="s">
        <v>10</v>
      </c>
      <c r="E81" t="s">
        <v>472</v>
      </c>
      <c r="G81" t="s">
        <v>11</v>
      </c>
    </row>
    <row r="82" spans="1:7">
      <c r="A82" t="s">
        <v>475</v>
      </c>
      <c r="B82" t="s">
        <v>452</v>
      </c>
      <c r="C82" s="64">
        <f>IF(AND(C4="Application B",C18="Yes"),C66,C62)</f>
        <v>0.8</v>
      </c>
      <c r="D82" t="s">
        <v>10</v>
      </c>
      <c r="E82" t="s">
        <v>408</v>
      </c>
      <c r="G82" t="s">
        <v>11</v>
      </c>
    </row>
    <row r="83" spans="1:7">
      <c r="A83" t="s">
        <v>462</v>
      </c>
      <c r="B83" t="s">
        <v>445</v>
      </c>
      <c r="C83" s="91">
        <f>IF(C20="Default",C69,C71)</f>
        <v>0.4</v>
      </c>
      <c r="D83" t="s">
        <v>10</v>
      </c>
      <c r="E83" t="s">
        <v>408</v>
      </c>
      <c r="G83" t="s">
        <v>11</v>
      </c>
    </row>
    <row r="84" spans="1:7">
      <c r="A84" t="s">
        <v>476</v>
      </c>
      <c r="B84" t="s">
        <v>477</v>
      </c>
      <c r="C84" s="64">
        <f>IF(AND(C21="Pulp, paper and cardboard (other than sludge)",C10="Boreal and Temperate",C9="Dry conditions"),0.04,IF(AND(C21="Pulp, paper and cardboard (other than sludge)",C10="Boreal and Temperate",C9="Humid/wet conditions"),0.06,IF(AND(C21="Pulp, paper and cardboard (other than sludge)",C10="Tropical",C9="Dry conditions"),0.045,IF(AND(C21="Pulp, paper and cardboard (other than sludge)",C10="Tropical",C9="Humid/wet conditions"),0.07,IF(AND(C21="Wood and wood products",C10="Boreal and Temperate",C9="Dry conditions"),0.02,IF(AND(C21="Wood and wood products",C10="Boreal and Temperate",C9="Humid/wet conditions"),0.03,IF(AND(C21="Wood and wood products",C10="Tropical",C9="Dry conditions"),0.025,IF(AND(C21="Wood and wood products",C10="Tropical",C9="Humid/wet conditions"),0.035,IF(AND(C21="Garden, yard and park waste",C10="Boreal and Temperate",C9="Dry conditions"),0.05,IF(AND(C21="Garden, yard and park waste",C10="Boreal and Temperate",C9="Humid/wet conditions"),0.1,IF(AND(C21="Garden, yard and park waste",C10="Tropical",C9="Dry conditions"),0.065,IF(AND(C21="Garden, yard and park waste",C10="Tropical",C9="Humid/wet conditions"),0.17,IF(AND(C21="Food, food waste, beverages and tobacco (other than sludge)",C10="Boreal and Temperate",C9="Dry conditions"),0.06,IF(AND(C21="Food, food waste, beverages and tobacco (other than sludge)",C10="Boreal and Temperate",C9="Humid/wet conditions"),0.185,IF(AND(C21="Food, food waste, beverages and tobacco (other than sludge)",C10="Tropical",C9="Dry conditions"),0.085,IF(AND(C21="Food, food waste, beverages and tobacco (other than sludge)",C10="Tropical",C9="Humid/wet conditions"),0.4))))))))))))))))</f>
        <v>7.0000000000000007E-2</v>
      </c>
      <c r="D84" t="s">
        <v>10</v>
      </c>
      <c r="E84" t="s">
        <v>408</v>
      </c>
      <c r="F84" t="s">
        <v>478</v>
      </c>
      <c r="G84" t="s">
        <v>11</v>
      </c>
    </row>
    <row r="85" spans="1:7">
      <c r="A85" t="s">
        <v>479</v>
      </c>
      <c r="B85" t="s">
        <v>480</v>
      </c>
      <c r="C85" s="64" t="str">
        <f>IF(C21="Other",C22,C21)</f>
        <v>Pulp, paper and cardboard (other than sludge)</v>
      </c>
      <c r="D85" t="s">
        <v>10</v>
      </c>
      <c r="E85" t="s">
        <v>408</v>
      </c>
      <c r="G85" t="s">
        <v>11</v>
      </c>
    </row>
    <row r="86" spans="1:7">
      <c r="A86" t="s">
        <v>481</v>
      </c>
      <c r="B86" t="s">
        <v>482</v>
      </c>
      <c r="C86" s="64">
        <f>C77*(1-C78)*C79*(1-C80)*(16/12)*C81*C75*C82*(C76*C83*EXP(-C84*(C74-C73))*(1-EXP(-C84)))</f>
        <v>0</v>
      </c>
      <c r="D86" t="s">
        <v>10</v>
      </c>
      <c r="E86" t="s">
        <v>408</v>
      </c>
      <c r="G86" t="s">
        <v>11</v>
      </c>
    </row>
    <row r="87" spans="1:7">
      <c r="B87" s="95" t="s">
        <v>483</v>
      </c>
      <c r="F87" t="s">
        <v>484</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2">
        <x14:dataValidation type="list" allowBlank="1" showInputMessage="1" showErrorMessage="1" xr:uid="{86593306-4273-E44A-91B6-215D53C861D2}">
          <x14:formula1>
            <xm:f>'Dropdown Items'!$A$2:$A$4</xm:f>
          </x14:formula1>
          <xm:sqref>C3</xm:sqref>
        </x14:dataValidation>
        <x14:dataValidation type="list" allowBlank="1" showInputMessage="1" showErrorMessage="1" xr:uid="{AD280CD3-370D-604F-8070-9BEAB0399F58}">
          <x14:formula1>
            <xm:f>'Dropdown Items'!$H$2:$H$3</xm:f>
          </x14:formula1>
          <xm:sqref>C10</xm:sqref>
        </x14:dataValidation>
        <x14:dataValidation type="list" allowBlank="1" showInputMessage="1" showErrorMessage="1" xr:uid="{4C0632D6-672D-D440-8CC4-4F0B742483D7}">
          <x14:formula1>
            <xm:f>'Dropdown Items'!$I$2:$I$11</xm:f>
          </x14:formula1>
          <xm:sqref>C21</xm:sqref>
        </x14:dataValidation>
        <x14:dataValidation type="list" allowBlank="1" showInputMessage="1" showErrorMessage="1" xr:uid="{EEC4A31A-1FDD-7B42-B817-C59E5DD79C16}">
          <x14:formula1>
            <xm:f>'Dropdown Items'!$F$2:$F$3</xm:f>
          </x14:formula1>
          <xm:sqref>C20</xm:sqref>
        </x14:dataValidation>
        <x14:dataValidation type="list" allowBlank="1" showInputMessage="1" showErrorMessage="1" xr:uid="{332A9EF2-BDA1-6442-97F6-62EDB02D4C7C}">
          <x14:formula1>
            <xm:f>'Dropdown Items'!$M$2:$M$5</xm:f>
          </x14:formula1>
          <xm:sqref>C19</xm:sqref>
        </x14:dataValidation>
        <x14:dataValidation type="list" allowBlank="1" showInputMessage="1" showErrorMessage="1" xr:uid="{C7A6875B-7A4B-C243-8BE8-A040B8DE002A}">
          <x14:formula1>
            <xm:f>'Dropdown Items'!$L$2:$L$3</xm:f>
          </x14:formula1>
          <xm:sqref>C14</xm:sqref>
        </x14:dataValidation>
        <x14:dataValidation type="list" allowBlank="1" showInputMessage="1" showErrorMessage="1" xr:uid="{2B1483E3-8F72-7044-9A30-DA8D5F8F7DD5}">
          <x14:formula1>
            <xm:f>'Dropdown Items'!$K$2:$K$3</xm:f>
          </x14:formula1>
          <xm:sqref>C23 C17:C18</xm:sqref>
        </x14:dataValidation>
        <x14:dataValidation type="list" allowBlank="1" showInputMessage="1" showErrorMessage="1" xr:uid="{0BD80E09-7097-6745-BF01-9725CFC8CBA3}">
          <x14:formula1>
            <xm:f>'Dropdown Items'!$J$2:$J$3</xm:f>
          </x14:formula1>
          <xm:sqref>C11</xm:sqref>
        </x14:dataValidation>
        <x14:dataValidation type="list" allowBlank="1" showInputMessage="1" showErrorMessage="1" xr:uid="{A482DAE2-8F37-C844-B54A-7635E5C5F5FD}">
          <x14:formula1>
            <xm:f>'Dropdown Items'!$G$2:$G$3</xm:f>
          </x14:formula1>
          <xm:sqref>C9</xm:sqref>
        </x14:dataValidation>
        <x14:dataValidation type="list" allowBlank="1" showInputMessage="1" showErrorMessage="1" xr:uid="{29305DFF-1C59-F143-B0F9-ECA92B41CB4C}">
          <x14:formula1>
            <xm:f>'Dropdown Items'!$E$2:$E$3</xm:f>
          </x14:formula1>
          <xm:sqref>C8</xm:sqref>
        </x14:dataValidation>
        <x14:dataValidation type="list" allowBlank="1" showInputMessage="1" showErrorMessage="1" xr:uid="{0BB2A6B6-05A8-0F4A-B1E7-A8DFDD5B6709}">
          <x14:formula1>
            <xm:f>'Dropdown Items'!$D$2:$D$3</xm:f>
          </x14:formula1>
          <xm:sqref>C12:C13 C23 C18 C5:C7 C15:C16</xm:sqref>
        </x14:dataValidation>
        <x14:dataValidation type="list" allowBlank="1" showInputMessage="1" showErrorMessage="1" xr:uid="{12B04882-6A6F-2144-A7CA-BF0EED123363}">
          <x14:formula1>
            <xm:f>'Dropdown Items'!$B$2:$B$3</xm:f>
          </x14:formula1>
          <xm:sqref>C4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71F41-0A44-0A48-9B1E-1AC15806AAAE}">
  <dimension ref="A1:M11"/>
  <sheetViews>
    <sheetView workbookViewId="0">
      <selection activeCell="C8" sqref="C8"/>
    </sheetView>
  </sheetViews>
  <sheetFormatPr defaultColWidth="8.85546875" defaultRowHeight="15"/>
  <cols>
    <col min="1" max="1" width="22.28515625" customWidth="1"/>
    <col min="2" max="2" width="27.28515625" customWidth="1"/>
    <col min="3" max="3" width="20.28515625" customWidth="1"/>
    <col min="4" max="4" width="19.42578125" customWidth="1"/>
    <col min="5" max="5" width="26.28515625" customWidth="1"/>
    <col min="6" max="6" width="29.42578125" customWidth="1"/>
    <col min="7" max="9" width="31.140625" customWidth="1"/>
    <col min="10" max="10" width="13.42578125" customWidth="1"/>
  </cols>
  <sheetData>
    <row r="1" spans="1:13">
      <c r="A1" s="10" t="s">
        <v>485</v>
      </c>
      <c r="B1" s="10" t="s">
        <v>486</v>
      </c>
      <c r="C1" s="10" t="s">
        <v>487</v>
      </c>
      <c r="D1" s="10" t="s">
        <v>488</v>
      </c>
      <c r="E1" s="10" t="s">
        <v>489</v>
      </c>
      <c r="F1" s="10" t="s">
        <v>490</v>
      </c>
      <c r="G1" s="10" t="s">
        <v>491</v>
      </c>
      <c r="H1" s="10" t="s">
        <v>492</v>
      </c>
      <c r="I1" s="10" t="s">
        <v>493</v>
      </c>
    </row>
    <row r="2" spans="1:13">
      <c r="A2" t="s">
        <v>371</v>
      </c>
      <c r="B2" t="s">
        <v>374</v>
      </c>
      <c r="C2" t="s">
        <v>494</v>
      </c>
      <c r="D2" t="s">
        <v>10</v>
      </c>
      <c r="E2" t="s">
        <v>380</v>
      </c>
      <c r="F2" t="s">
        <v>399</v>
      </c>
      <c r="G2" t="s">
        <v>382</v>
      </c>
      <c r="H2" t="s">
        <v>495</v>
      </c>
      <c r="I2" t="s">
        <v>496</v>
      </c>
      <c r="J2" t="s">
        <v>497</v>
      </c>
      <c r="K2" t="s">
        <v>394</v>
      </c>
      <c r="L2" t="s">
        <v>390</v>
      </c>
      <c r="M2" t="s">
        <v>498</v>
      </c>
    </row>
    <row r="3" spans="1:13" ht="30">
      <c r="A3" t="s">
        <v>499</v>
      </c>
      <c r="B3" t="s">
        <v>423</v>
      </c>
      <c r="C3" t="s">
        <v>500</v>
      </c>
      <c r="D3" t="s">
        <v>11</v>
      </c>
      <c r="E3" t="s">
        <v>501</v>
      </c>
      <c r="F3" t="s">
        <v>394</v>
      </c>
      <c r="G3" t="s">
        <v>502</v>
      </c>
      <c r="H3" t="s">
        <v>384</v>
      </c>
      <c r="I3" s="1" t="s">
        <v>402</v>
      </c>
      <c r="J3" t="s">
        <v>386</v>
      </c>
      <c r="K3" t="s">
        <v>399</v>
      </c>
      <c r="L3" t="s">
        <v>503</v>
      </c>
      <c r="M3" t="s">
        <v>504</v>
      </c>
    </row>
    <row r="4" spans="1:13">
      <c r="A4" t="s">
        <v>505</v>
      </c>
      <c r="I4" t="s">
        <v>506</v>
      </c>
      <c r="M4" t="s">
        <v>397</v>
      </c>
    </row>
    <row r="5" spans="1:13">
      <c r="I5" t="s">
        <v>507</v>
      </c>
      <c r="M5" t="s">
        <v>508</v>
      </c>
    </row>
    <row r="6" spans="1:13">
      <c r="I6" t="s">
        <v>509</v>
      </c>
    </row>
    <row r="7" spans="1:13">
      <c r="I7" t="s">
        <v>510</v>
      </c>
    </row>
    <row r="8" spans="1:13">
      <c r="I8" t="s">
        <v>511</v>
      </c>
    </row>
    <row r="9" spans="1:13">
      <c r="I9" t="s">
        <v>512</v>
      </c>
    </row>
    <row r="10" spans="1:13">
      <c r="I10" t="s">
        <v>513</v>
      </c>
    </row>
    <row r="11" spans="1:13">
      <c r="I11" t="s">
        <v>514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C38F7-A3A7-384B-BD9C-8377594AC223}">
  <dimension ref="A1:H47"/>
  <sheetViews>
    <sheetView zoomScale="70" zoomScaleNormal="70" workbookViewId="0">
      <pane ySplit="1" topLeftCell="A5" activePane="bottomLeft" state="frozen"/>
      <selection activeCell="G10" sqref="G10"/>
      <selection pane="bottomLeft" activeCell="G6" sqref="G6"/>
    </sheetView>
  </sheetViews>
  <sheetFormatPr defaultColWidth="8.85546875" defaultRowHeight="15"/>
  <cols>
    <col min="1" max="1" width="12.42578125" bestFit="1" customWidth="1"/>
    <col min="2" max="2" width="13.140625" bestFit="1" customWidth="1"/>
    <col min="3" max="3" width="11.7109375" bestFit="1" customWidth="1"/>
    <col min="4" max="4" width="17.140625" bestFit="1" customWidth="1"/>
    <col min="5" max="5" width="17.28515625" bestFit="1" customWidth="1"/>
    <col min="6" max="6" width="84" customWidth="1"/>
    <col min="7" max="7" width="22.85546875" customWidth="1"/>
    <col min="8" max="8" width="94.42578125" customWidth="1"/>
  </cols>
  <sheetData>
    <row r="1" spans="1:8" ht="39.75" customHeight="1">
      <c r="A1" s="61" t="s">
        <v>0</v>
      </c>
      <c r="B1" s="61" t="s">
        <v>1</v>
      </c>
      <c r="C1" s="62" t="s">
        <v>323</v>
      </c>
      <c r="D1" s="61" t="s">
        <v>4</v>
      </c>
      <c r="E1" s="61" t="s">
        <v>5</v>
      </c>
      <c r="F1" s="63" t="s">
        <v>6</v>
      </c>
      <c r="G1" s="63" t="s">
        <v>7</v>
      </c>
      <c r="H1" s="62" t="s">
        <v>8</v>
      </c>
    </row>
    <row r="2" spans="1:8" ht="30" customHeight="1">
      <c r="A2" s="243" t="s">
        <v>515</v>
      </c>
      <c r="B2" s="243"/>
      <c r="C2" s="243"/>
      <c r="D2" s="243"/>
      <c r="E2" s="243"/>
      <c r="F2" s="243"/>
      <c r="G2" s="243"/>
      <c r="H2" s="243"/>
    </row>
    <row r="3" spans="1:8" ht="33" customHeight="1">
      <c r="A3" s="244" t="s">
        <v>516</v>
      </c>
      <c r="B3" s="244"/>
      <c r="C3" s="244"/>
      <c r="D3" s="244"/>
      <c r="E3" s="244"/>
      <c r="F3" s="244"/>
      <c r="G3" s="244"/>
      <c r="H3" s="244"/>
    </row>
    <row r="4" spans="1:8" s="133" customFormat="1" ht="204.75">
      <c r="A4" s="130" t="s">
        <v>10</v>
      </c>
      <c r="B4" s="130"/>
      <c r="C4" s="130" t="s">
        <v>11</v>
      </c>
      <c r="D4" s="130" t="s">
        <v>127</v>
      </c>
      <c r="E4" s="130"/>
      <c r="F4" s="131" t="s">
        <v>517</v>
      </c>
      <c r="G4" s="131" t="s">
        <v>518</v>
      </c>
      <c r="H4" s="132" t="s">
        <v>519</v>
      </c>
    </row>
    <row r="5" spans="1:8" ht="30.75" customHeight="1">
      <c r="A5" s="245" t="s">
        <v>520</v>
      </c>
      <c r="B5" s="245"/>
      <c r="C5" s="245"/>
      <c r="D5" s="245"/>
      <c r="E5" s="245"/>
      <c r="F5" s="245"/>
      <c r="G5" s="245"/>
      <c r="H5" s="245"/>
    </row>
    <row r="6" spans="1:8" ht="26.25">
      <c r="A6" s="134" t="s">
        <v>11</v>
      </c>
      <c r="B6" s="134"/>
      <c r="C6" s="134" t="s">
        <v>11</v>
      </c>
      <c r="D6" s="134" t="s">
        <v>325</v>
      </c>
      <c r="E6" s="72" t="s">
        <v>521</v>
      </c>
      <c r="F6" s="100" t="s">
        <v>522</v>
      </c>
      <c r="G6" s="67">
        <f>SUM(G8*G7*(1+G9))</f>
        <v>0.73499999999999999</v>
      </c>
      <c r="H6" s="67"/>
    </row>
    <row r="7" spans="1:8" ht="26.25">
      <c r="A7" s="134" t="s">
        <v>11</v>
      </c>
      <c r="B7" s="134"/>
      <c r="C7" s="134" t="s">
        <v>11</v>
      </c>
      <c r="D7" s="134" t="s">
        <v>325</v>
      </c>
      <c r="E7" s="72" t="s">
        <v>523</v>
      </c>
      <c r="F7" s="100" t="s">
        <v>524</v>
      </c>
      <c r="G7" s="67">
        <f>G32</f>
        <v>0.25</v>
      </c>
      <c r="H7" s="100" t="s">
        <v>525</v>
      </c>
    </row>
    <row r="8" spans="1:8" ht="30">
      <c r="A8" s="133" t="s">
        <v>10</v>
      </c>
      <c r="B8" s="133"/>
      <c r="C8" s="133" t="s">
        <v>10</v>
      </c>
      <c r="D8" s="133" t="s">
        <v>99</v>
      </c>
      <c r="E8" s="73" t="s">
        <v>526</v>
      </c>
      <c r="F8" s="1" t="s">
        <v>527</v>
      </c>
      <c r="G8" s="41">
        <v>2.8</v>
      </c>
    </row>
    <row r="9" spans="1:8" ht="30">
      <c r="A9" s="133" t="s">
        <v>10</v>
      </c>
      <c r="B9" s="133"/>
      <c r="C9" s="133" t="s">
        <v>10</v>
      </c>
      <c r="D9" s="133" t="s">
        <v>99</v>
      </c>
      <c r="E9" s="73" t="s">
        <v>528</v>
      </c>
      <c r="F9" s="1" t="s">
        <v>529</v>
      </c>
      <c r="G9" s="41">
        <v>0.05</v>
      </c>
    </row>
    <row r="10" spans="1:8" ht="21" customHeight="1">
      <c r="A10" s="133" t="s">
        <v>10</v>
      </c>
      <c r="B10" s="133"/>
      <c r="C10" s="133" t="s">
        <v>10</v>
      </c>
      <c r="D10" s="133" t="s">
        <v>12</v>
      </c>
      <c r="E10" s="105" t="s">
        <v>479</v>
      </c>
      <c r="F10" t="s">
        <v>530</v>
      </c>
      <c r="G10" s="41"/>
    </row>
    <row r="11" spans="1:8" ht="26.25">
      <c r="A11" s="134" t="s">
        <v>11</v>
      </c>
      <c r="B11" s="134"/>
      <c r="C11" s="134" t="s">
        <v>11</v>
      </c>
      <c r="D11" s="134" t="s">
        <v>325</v>
      </c>
      <c r="E11" s="72" t="s">
        <v>531</v>
      </c>
      <c r="F11" s="100" t="s">
        <v>532</v>
      </c>
      <c r="G11" s="67">
        <f>SUM(G13*G12*(1+G14))</f>
        <v>1.1287499999999999</v>
      </c>
      <c r="H11" s="67"/>
    </row>
    <row r="12" spans="1:8" ht="26.25">
      <c r="A12" s="134" t="s">
        <v>11</v>
      </c>
      <c r="B12" s="134"/>
      <c r="C12" s="134" t="s">
        <v>11</v>
      </c>
      <c r="D12" s="134" t="s">
        <v>325</v>
      </c>
      <c r="E12" s="72" t="s">
        <v>533</v>
      </c>
      <c r="F12" s="100" t="s">
        <v>534</v>
      </c>
      <c r="G12" s="67">
        <f>G32</f>
        <v>0.25</v>
      </c>
      <c r="H12" s="100" t="s">
        <v>525</v>
      </c>
    </row>
    <row r="13" spans="1:8" ht="30">
      <c r="A13" s="133" t="s">
        <v>10</v>
      </c>
      <c r="B13" s="133"/>
      <c r="C13" s="133" t="s">
        <v>10</v>
      </c>
      <c r="D13" s="133" t="s">
        <v>99</v>
      </c>
      <c r="E13" s="73" t="s">
        <v>535</v>
      </c>
      <c r="F13" s="1" t="s">
        <v>536</v>
      </c>
      <c r="G13" s="41">
        <v>4.3</v>
      </c>
    </row>
    <row r="14" spans="1:8" ht="30">
      <c r="A14" s="133" t="s">
        <v>10</v>
      </c>
      <c r="B14" s="133"/>
      <c r="C14" s="133" t="s">
        <v>10</v>
      </c>
      <c r="D14" s="133" t="s">
        <v>99</v>
      </c>
      <c r="E14" s="73" t="s">
        <v>537</v>
      </c>
      <c r="F14" s="1" t="s">
        <v>538</v>
      </c>
      <c r="G14" s="41">
        <v>0.05</v>
      </c>
    </row>
    <row r="15" spans="1:8" ht="30" customHeight="1">
      <c r="A15" s="133" t="s">
        <v>10</v>
      </c>
      <c r="B15" s="133"/>
      <c r="C15" s="133" t="s">
        <v>10</v>
      </c>
      <c r="D15" s="133" t="s">
        <v>12</v>
      </c>
      <c r="E15" s="105" t="s">
        <v>476</v>
      </c>
      <c r="F15" t="s">
        <v>539</v>
      </c>
      <c r="G15" s="41"/>
    </row>
    <row r="16" spans="1:8" ht="26.25">
      <c r="A16" s="134" t="s">
        <v>11</v>
      </c>
      <c r="B16" s="134"/>
      <c r="C16" s="134" t="s">
        <v>11</v>
      </c>
      <c r="D16" s="134" t="s">
        <v>325</v>
      </c>
      <c r="E16" s="72" t="s">
        <v>540</v>
      </c>
      <c r="F16" s="100" t="s">
        <v>541</v>
      </c>
      <c r="G16" s="67">
        <f>SUM(G18*G17*(1+G19))</f>
        <v>0.39375000000000004</v>
      </c>
      <c r="H16" s="67"/>
    </row>
    <row r="17" spans="1:8" ht="26.25">
      <c r="A17" s="134" t="s">
        <v>11</v>
      </c>
      <c r="B17" s="134"/>
      <c r="C17" s="134" t="s">
        <v>11</v>
      </c>
      <c r="D17" s="134" t="s">
        <v>325</v>
      </c>
      <c r="E17" s="72" t="s">
        <v>542</v>
      </c>
      <c r="F17" s="100" t="s">
        <v>543</v>
      </c>
      <c r="G17" s="67">
        <f>G32</f>
        <v>0.25</v>
      </c>
      <c r="H17" s="100" t="s">
        <v>525</v>
      </c>
    </row>
    <row r="18" spans="1:8" ht="26.25">
      <c r="A18" s="133" t="s">
        <v>10</v>
      </c>
      <c r="B18" s="133"/>
      <c r="C18" s="133" t="s">
        <v>10</v>
      </c>
      <c r="D18" s="133" t="s">
        <v>99</v>
      </c>
      <c r="E18" s="73" t="s">
        <v>544</v>
      </c>
      <c r="F18" s="1" t="s">
        <v>545</v>
      </c>
      <c r="G18" s="41">
        <v>1.5</v>
      </c>
    </row>
    <row r="19" spans="1:8" ht="30">
      <c r="A19" s="133" t="s">
        <v>10</v>
      </c>
      <c r="B19" s="133"/>
      <c r="C19" s="133" t="s">
        <v>10</v>
      </c>
      <c r="D19" s="133" t="s">
        <v>99</v>
      </c>
      <c r="E19" s="73" t="s">
        <v>546</v>
      </c>
      <c r="F19" s="1" t="s">
        <v>547</v>
      </c>
      <c r="G19" s="41">
        <v>0.05</v>
      </c>
    </row>
    <row r="20" spans="1:8" ht="24" customHeight="1">
      <c r="A20" s="133" t="s">
        <v>10</v>
      </c>
      <c r="B20" s="133"/>
      <c r="C20" s="133" t="s">
        <v>10</v>
      </c>
      <c r="D20" s="133" t="s">
        <v>12</v>
      </c>
      <c r="E20" s="105" t="s">
        <v>548</v>
      </c>
      <c r="F20" t="s">
        <v>549</v>
      </c>
      <c r="G20" s="41"/>
    </row>
    <row r="21" spans="1:8" ht="36" customHeight="1">
      <c r="A21" s="246" t="s">
        <v>550</v>
      </c>
      <c r="B21" s="246"/>
      <c r="C21" s="246"/>
      <c r="D21" s="246"/>
      <c r="E21" s="246"/>
      <c r="F21" s="246"/>
      <c r="G21" s="246"/>
      <c r="H21" s="246"/>
    </row>
    <row r="22" spans="1:8" ht="28.5" customHeight="1">
      <c r="A22" s="64" t="s">
        <v>11</v>
      </c>
      <c r="B22" s="64"/>
      <c r="C22" s="64" t="s">
        <v>11</v>
      </c>
      <c r="D22" s="64" t="s">
        <v>325</v>
      </c>
      <c r="E22" s="72" t="s">
        <v>551</v>
      </c>
      <c r="F22" s="100" t="s">
        <v>552</v>
      </c>
      <c r="G22" s="67">
        <f>11400*1.3*G24</f>
        <v>0</v>
      </c>
      <c r="H22" s="67"/>
    </row>
    <row r="23" spans="1:8" ht="28.5" customHeight="1">
      <c r="A23" s="64" t="s">
        <v>11</v>
      </c>
      <c r="B23" s="64"/>
      <c r="C23" s="64" t="s">
        <v>11</v>
      </c>
      <c r="D23" s="64" t="s">
        <v>325</v>
      </c>
      <c r="E23" s="72" t="s">
        <v>553</v>
      </c>
      <c r="F23" s="100" t="s">
        <v>554</v>
      </c>
      <c r="G23" s="67">
        <f>11400*1.3*G26</f>
        <v>0</v>
      </c>
      <c r="H23" s="67"/>
    </row>
    <row r="24" spans="1:8" ht="30">
      <c r="A24" t="s">
        <v>11</v>
      </c>
      <c r="C24" t="s">
        <v>10</v>
      </c>
      <c r="D24" t="s">
        <v>99</v>
      </c>
      <c r="E24" s="73" t="s">
        <v>555</v>
      </c>
      <c r="F24" s="1" t="s">
        <v>556</v>
      </c>
    </row>
    <row r="25" spans="1:8" ht="30">
      <c r="A25" t="s">
        <v>10</v>
      </c>
      <c r="C25" t="s">
        <v>10</v>
      </c>
      <c r="D25" t="s">
        <v>12</v>
      </c>
      <c r="E25" s="73" t="s">
        <v>479</v>
      </c>
      <c r="F25" s="1" t="s">
        <v>557</v>
      </c>
    </row>
    <row r="26" spans="1:8" ht="30">
      <c r="A26" t="s">
        <v>11</v>
      </c>
      <c r="C26" t="s">
        <v>10</v>
      </c>
      <c r="D26" t="s">
        <v>99</v>
      </c>
      <c r="E26" s="73" t="s">
        <v>558</v>
      </c>
      <c r="F26" s="1" t="s">
        <v>559</v>
      </c>
    </row>
    <row r="27" spans="1:8" ht="30">
      <c r="A27" t="s">
        <v>10</v>
      </c>
      <c r="C27" t="s">
        <v>10</v>
      </c>
      <c r="D27" t="s">
        <v>12</v>
      </c>
      <c r="E27" s="73" t="s">
        <v>548</v>
      </c>
      <c r="F27" s="1" t="s">
        <v>560</v>
      </c>
    </row>
    <row r="28" spans="1:8" ht="21">
      <c r="A28" s="244" t="s">
        <v>561</v>
      </c>
      <c r="B28" s="244"/>
      <c r="C28" s="244"/>
      <c r="D28" s="244"/>
      <c r="E28" s="244"/>
      <c r="F28" s="244"/>
      <c r="G28" s="244"/>
      <c r="H28" s="244"/>
    </row>
    <row r="29" spans="1:8" ht="92.25" customHeight="1">
      <c r="A29" s="54" t="s">
        <v>10</v>
      </c>
      <c r="B29" s="54"/>
      <c r="C29" s="54" t="s">
        <v>11</v>
      </c>
      <c r="D29" s="54" t="s">
        <v>127</v>
      </c>
      <c r="E29" s="71" t="s">
        <v>562</v>
      </c>
      <c r="F29" s="106" t="s">
        <v>563</v>
      </c>
      <c r="G29" s="54" t="s">
        <v>564</v>
      </c>
      <c r="H29" s="71" t="s">
        <v>565</v>
      </c>
    </row>
    <row r="30" spans="1:8" ht="102" customHeight="1">
      <c r="A30" s="54" t="s">
        <v>10</v>
      </c>
      <c r="B30" s="54"/>
      <c r="C30" s="54" t="s">
        <v>11</v>
      </c>
      <c r="D30" s="54" t="s">
        <v>127</v>
      </c>
      <c r="E30" s="107" t="s">
        <v>566</v>
      </c>
      <c r="F30" s="106" t="s">
        <v>567</v>
      </c>
      <c r="G30" s="107" t="s">
        <v>568</v>
      </c>
      <c r="H30" s="70"/>
    </row>
    <row r="31" spans="1:8" ht="68.25" customHeight="1">
      <c r="A31" s="54" t="s">
        <v>10</v>
      </c>
      <c r="B31" s="54"/>
      <c r="C31" s="54" t="s">
        <v>11</v>
      </c>
      <c r="D31" s="54" t="s">
        <v>127</v>
      </c>
      <c r="E31" s="107" t="s">
        <v>569</v>
      </c>
      <c r="F31" s="106" t="s">
        <v>570</v>
      </c>
      <c r="G31" s="107" t="s">
        <v>11</v>
      </c>
      <c r="H31" s="70" t="s">
        <v>571</v>
      </c>
    </row>
    <row r="32" spans="1:8" ht="70.5" customHeight="1">
      <c r="A32" s="64" t="s">
        <v>11</v>
      </c>
      <c r="B32" s="64"/>
      <c r="C32" s="64" t="s">
        <v>11</v>
      </c>
      <c r="D32" s="64" t="s">
        <v>325</v>
      </c>
      <c r="E32" s="108" t="s">
        <v>572</v>
      </c>
      <c r="F32" s="100" t="s">
        <v>573</v>
      </c>
      <c r="G32" s="67">
        <v>0.25</v>
      </c>
      <c r="H32" s="66" t="s">
        <v>574</v>
      </c>
    </row>
    <row r="33" spans="1:8" ht="31.5" customHeight="1">
      <c r="A33" s="242" t="s">
        <v>575</v>
      </c>
      <c r="B33" s="242"/>
      <c r="C33" s="242"/>
      <c r="D33" s="242"/>
      <c r="E33" s="242"/>
      <c r="F33" s="242"/>
      <c r="G33" s="242"/>
      <c r="H33" s="242"/>
    </row>
    <row r="34" spans="1:8" ht="105">
      <c r="A34" s="54" t="s">
        <v>10</v>
      </c>
      <c r="B34" s="54"/>
      <c r="C34" s="54" t="s">
        <v>11</v>
      </c>
      <c r="D34" s="54" t="s">
        <v>127</v>
      </c>
      <c r="E34" s="106" t="s">
        <v>576</v>
      </c>
      <c r="F34" s="106" t="s">
        <v>577</v>
      </c>
      <c r="G34" s="106" t="s">
        <v>578</v>
      </c>
      <c r="H34" s="106" t="s">
        <v>579</v>
      </c>
    </row>
    <row r="35" spans="1:8" ht="45">
      <c r="A35" s="54" t="s">
        <v>10</v>
      </c>
      <c r="B35" s="54"/>
      <c r="C35" s="54" t="s">
        <v>11</v>
      </c>
      <c r="D35" s="54" t="s">
        <v>127</v>
      </c>
      <c r="E35" s="106" t="s">
        <v>580</v>
      </c>
      <c r="F35" s="106" t="s">
        <v>581</v>
      </c>
      <c r="G35" s="107" t="s">
        <v>582</v>
      </c>
      <c r="H35" s="106" t="s">
        <v>583</v>
      </c>
    </row>
    <row r="36" spans="1:8" ht="90">
      <c r="A36" s="54" t="s">
        <v>10</v>
      </c>
      <c r="B36" s="54"/>
      <c r="C36" s="54" t="s">
        <v>11</v>
      </c>
      <c r="D36" s="54" t="s">
        <v>127</v>
      </c>
      <c r="E36" s="106" t="s">
        <v>584</v>
      </c>
      <c r="F36" s="106" t="s">
        <v>585</v>
      </c>
      <c r="G36" s="106" t="s">
        <v>586</v>
      </c>
      <c r="H36" s="70" t="s">
        <v>587</v>
      </c>
    </row>
    <row r="37" spans="1:8" ht="63" customHeight="1">
      <c r="A37" s="64" t="s">
        <v>11</v>
      </c>
      <c r="B37" s="64"/>
      <c r="C37" s="64" t="s">
        <v>11</v>
      </c>
      <c r="D37" s="64" t="s">
        <v>325</v>
      </c>
      <c r="E37" s="108" t="s">
        <v>572</v>
      </c>
      <c r="F37" s="100" t="s">
        <v>588</v>
      </c>
      <c r="G37" s="67">
        <f>'Tool 05.2 Power Plants'!G3</f>
        <v>1.7670440000000003</v>
      </c>
      <c r="H37" s="67" t="s">
        <v>589</v>
      </c>
    </row>
    <row r="38" spans="1:8" ht="49.5" customHeight="1">
      <c r="A38" s="64" t="s">
        <v>11</v>
      </c>
      <c r="B38" s="64"/>
      <c r="C38" s="64" t="s">
        <v>11</v>
      </c>
      <c r="D38" s="64" t="s">
        <v>325</v>
      </c>
      <c r="E38" s="108" t="s">
        <v>572</v>
      </c>
      <c r="F38" s="100" t="s">
        <v>590</v>
      </c>
      <c r="G38" s="67">
        <f>'Tool 05.2 Power Plants'!G4</f>
        <v>1.7253240000000001</v>
      </c>
      <c r="H38" s="104" t="s">
        <v>591</v>
      </c>
    </row>
    <row r="39" spans="1:8" ht="21">
      <c r="A39" s="242" t="s">
        <v>592</v>
      </c>
      <c r="B39" s="242"/>
      <c r="C39" s="242"/>
      <c r="D39" s="242"/>
      <c r="E39" s="242"/>
      <c r="F39" s="242"/>
      <c r="G39" s="242"/>
      <c r="H39" s="242"/>
    </row>
    <row r="40" spans="1:8" ht="90">
      <c r="A40" s="54" t="s">
        <v>10</v>
      </c>
      <c r="B40" s="54"/>
      <c r="C40" s="54" t="s">
        <v>11</v>
      </c>
      <c r="D40" s="54" t="s">
        <v>127</v>
      </c>
      <c r="E40" s="106" t="s">
        <v>593</v>
      </c>
      <c r="F40" s="106" t="s">
        <v>594</v>
      </c>
      <c r="G40" s="107" t="s">
        <v>337</v>
      </c>
      <c r="H40" s="70" t="s">
        <v>595</v>
      </c>
    </row>
    <row r="41" spans="1:8" ht="45" customHeight="1">
      <c r="A41" s="64" t="s">
        <v>11</v>
      </c>
      <c r="B41" s="64"/>
      <c r="C41" s="64" t="s">
        <v>11</v>
      </c>
      <c r="D41" s="64" t="s">
        <v>325</v>
      </c>
      <c r="E41" s="108" t="s">
        <v>572</v>
      </c>
      <c r="F41" s="100" t="s">
        <v>573</v>
      </c>
      <c r="G41" s="67">
        <v>1.3</v>
      </c>
      <c r="H41" s="67" t="s">
        <v>596</v>
      </c>
    </row>
    <row r="42" spans="1:8" ht="34.5" customHeight="1">
      <c r="A42" s="64" t="s">
        <v>11</v>
      </c>
      <c r="B42" s="64"/>
      <c r="C42" s="64" t="s">
        <v>11</v>
      </c>
      <c r="D42" s="64" t="s">
        <v>325</v>
      </c>
      <c r="E42" s="108" t="s">
        <v>572</v>
      </c>
      <c r="F42" s="100" t="s">
        <v>597</v>
      </c>
      <c r="G42" s="67">
        <v>0.4</v>
      </c>
      <c r="H42" s="67" t="s">
        <v>598</v>
      </c>
    </row>
    <row r="43" spans="1:8" ht="21">
      <c r="A43" s="242" t="s">
        <v>599</v>
      </c>
      <c r="B43" s="242"/>
      <c r="C43" s="242"/>
      <c r="D43" s="242"/>
      <c r="E43" s="242"/>
      <c r="F43" s="242"/>
      <c r="G43" s="242"/>
      <c r="H43" s="242"/>
    </row>
    <row r="44" spans="1:8" ht="225">
      <c r="A44" s="54" t="s">
        <v>10</v>
      </c>
      <c r="B44" s="54"/>
      <c r="C44" s="54" t="s">
        <v>11</v>
      </c>
      <c r="D44" s="54" t="s">
        <v>127</v>
      </c>
      <c r="E44" s="54"/>
      <c r="F44" s="106" t="s">
        <v>600</v>
      </c>
      <c r="G44" s="107" t="s">
        <v>601</v>
      </c>
      <c r="H44" s="71"/>
    </row>
    <row r="45" spans="1:8">
      <c r="A45" s="54" t="s">
        <v>10</v>
      </c>
      <c r="B45" s="54"/>
      <c r="C45" s="54" t="s">
        <v>11</v>
      </c>
      <c r="D45" s="54" t="s">
        <v>602</v>
      </c>
      <c r="E45" s="54"/>
      <c r="F45" s="71" t="s">
        <v>603</v>
      </c>
      <c r="G45" s="71" t="s">
        <v>604</v>
      </c>
      <c r="H45" s="71"/>
    </row>
    <row r="46" spans="1:8" ht="36.75" customHeight="1">
      <c r="A46" s="54" t="s">
        <v>10</v>
      </c>
      <c r="B46" s="54"/>
      <c r="C46" s="54" t="s">
        <v>11</v>
      </c>
      <c r="D46" s="54" t="s">
        <v>602</v>
      </c>
      <c r="E46" s="54"/>
      <c r="F46" s="71" t="s">
        <v>605</v>
      </c>
      <c r="G46" s="71" t="s">
        <v>606</v>
      </c>
      <c r="H46" s="71"/>
    </row>
    <row r="47" spans="1:8" ht="60">
      <c r="A47" s="54" t="s">
        <v>10</v>
      </c>
      <c r="B47" s="54"/>
      <c r="C47" s="54" t="s">
        <v>11</v>
      </c>
      <c r="D47" s="54" t="s">
        <v>602</v>
      </c>
      <c r="E47" s="54"/>
      <c r="F47" s="71" t="s">
        <v>607</v>
      </c>
      <c r="G47" s="71" t="s">
        <v>608</v>
      </c>
      <c r="H47" s="71" t="s">
        <v>609</v>
      </c>
    </row>
  </sheetData>
  <mergeCells count="8">
    <mergeCell ref="A39:H39"/>
    <mergeCell ref="A43:H43"/>
    <mergeCell ref="A2:H2"/>
    <mergeCell ref="A3:H3"/>
    <mergeCell ref="A5:H5"/>
    <mergeCell ref="A21:H21"/>
    <mergeCell ref="A28:H28"/>
    <mergeCell ref="A33:H33"/>
  </mergeCells>
  <dataValidations count="9">
    <dataValidation type="list" allowBlank="1" showInputMessage="1" showErrorMessage="1" sqref="G29" xr:uid="{37B33A34-9875-7E4F-971F-9B9A09EE94DD}">
      <formula1>"Option A1,Option A2"</formula1>
    </dataValidation>
    <dataValidation type="list" allowBlank="1" showInputMessage="1" showErrorMessage="1" sqref="G30" xr:uid="{8E860A23-A023-A74B-A912-221315E569C5}">
      <formula1>"Option 2.1,Option 2.2"</formula1>
    </dataValidation>
    <dataValidation type="list" allowBlank="1" showInputMessage="1" showErrorMessage="1" sqref="G31" xr:uid="{FDCE4995-C0C6-9F48-85E7-F6BE76DC9688}">
      <formula1>"Yes,No"</formula1>
    </dataValidation>
    <dataValidation type="list" allowBlank="1" showInputMessage="1" showErrorMessage="1" sqref="G4" xr:uid="{BABCA266-444F-4743-A825-A885C51EFCA3}">
      <formula1>"A: From the Grid,B: Off-Grid Captive Power Plants,C: From the Grid and Captive Power Plant"</formula1>
    </dataValidation>
    <dataValidation type="list" allowBlank="1" showInputMessage="1" showErrorMessage="1" sqref="G34" xr:uid="{419EF377-DB34-A245-9495-B792D35FBA2A}">
      <formula1>"Yes: Alternative Approach, No: Generic Approach"</formula1>
    </dataValidation>
    <dataValidation type="list" allowBlank="1" showInputMessage="1" showErrorMessage="1" sqref="G35" xr:uid="{A1FCAF72-3ED8-784C-9213-4734B5B2CC4A}">
      <formula1>"Monitored Data, Default Values"</formula1>
    </dataValidation>
    <dataValidation type="list" allowBlank="1" showInputMessage="1" showErrorMessage="1" sqref="G36" xr:uid="{F85E6F3E-1B35-664E-945F-159202FB4786}">
      <formula1>"Heat Generation ignored,Fuel consumption between electricity and heat generation"</formula1>
    </dataValidation>
    <dataValidation type="list" allowBlank="1" showInputMessage="1" showErrorMessage="1" sqref="G40" xr:uid="{535CEA66-C3A6-E84C-8BD5-934D850840D5}">
      <formula1>"Option A,Option B"</formula1>
    </dataValidation>
    <dataValidation type="list" allowBlank="1" showInputMessage="1" showErrorMessage="1" sqref="G44" xr:uid="{7D84AAAD-BA95-F640-940F-8BA8FEDB6963}">
      <formula1>"Case 1,Case 2, Case 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72AE7-3021-B14E-9362-D9A8000592F9}">
  <dimension ref="A1:H40"/>
  <sheetViews>
    <sheetView topLeftCell="G10" workbookViewId="0">
      <selection activeCell="G10" sqref="G10"/>
    </sheetView>
  </sheetViews>
  <sheetFormatPr defaultColWidth="8.85546875" defaultRowHeight="15"/>
  <cols>
    <col min="1" max="1" width="12.28515625" bestFit="1" customWidth="1"/>
    <col min="2" max="2" width="13.140625" bestFit="1" customWidth="1"/>
    <col min="3" max="3" width="11.7109375" bestFit="1" customWidth="1"/>
    <col min="4" max="4" width="14.28515625" customWidth="1"/>
    <col min="5" max="5" width="16" customWidth="1"/>
    <col min="6" max="6" width="70.140625" customWidth="1"/>
    <col min="7" max="7" width="31" customWidth="1"/>
    <col min="8" max="8" width="58.140625" customWidth="1"/>
  </cols>
  <sheetData>
    <row r="1" spans="1:8" ht="37.5">
      <c r="A1" s="61" t="s">
        <v>0</v>
      </c>
      <c r="B1" s="61" t="s">
        <v>1</v>
      </c>
      <c r="C1" s="62" t="s">
        <v>323</v>
      </c>
      <c r="D1" s="61" t="s">
        <v>4</v>
      </c>
      <c r="E1" s="61" t="s">
        <v>5</v>
      </c>
      <c r="F1" s="62" t="s">
        <v>6</v>
      </c>
      <c r="G1" s="61" t="s">
        <v>7</v>
      </c>
      <c r="H1" s="61" t="s">
        <v>8</v>
      </c>
    </row>
    <row r="2" spans="1:8" ht="18.75">
      <c r="A2" s="247" t="s">
        <v>610</v>
      </c>
      <c r="B2" s="247"/>
      <c r="C2" s="247"/>
      <c r="D2" s="247"/>
      <c r="E2" s="247"/>
      <c r="F2" s="247"/>
      <c r="G2" s="247"/>
      <c r="H2" s="247"/>
    </row>
    <row r="3" spans="1:8" ht="30.75">
      <c r="A3" s="64" t="s">
        <v>11</v>
      </c>
      <c r="B3" s="64"/>
      <c r="C3" s="64" t="s">
        <v>11</v>
      </c>
      <c r="D3" s="64" t="s">
        <v>408</v>
      </c>
      <c r="E3" s="108" t="s">
        <v>572</v>
      </c>
      <c r="F3" s="100" t="s">
        <v>611</v>
      </c>
      <c r="G3" s="67">
        <f>G7+G19+G31</f>
        <v>1.7670440000000003</v>
      </c>
      <c r="H3" s="109" t="s">
        <v>612</v>
      </c>
    </row>
    <row r="4" spans="1:8" ht="30.75">
      <c r="A4" s="64" t="s">
        <v>11</v>
      </c>
      <c r="B4" s="64"/>
      <c r="C4" s="64" t="s">
        <v>11</v>
      </c>
      <c r="D4" s="64" t="s">
        <v>408</v>
      </c>
      <c r="E4" s="108" t="s">
        <v>572</v>
      </c>
      <c r="F4" s="100" t="s">
        <v>590</v>
      </c>
      <c r="G4" s="67">
        <f>G8+G20+G32</f>
        <v>1.7253240000000001</v>
      </c>
      <c r="H4" s="75" t="s">
        <v>613</v>
      </c>
    </row>
    <row r="5" spans="1:8" ht="18.75">
      <c r="A5" s="247" t="s">
        <v>614</v>
      </c>
      <c r="B5" s="247"/>
      <c r="C5" s="247"/>
      <c r="D5" s="247"/>
      <c r="E5" s="247"/>
      <c r="F5" s="247"/>
      <c r="G5" s="247"/>
      <c r="H5" s="247"/>
    </row>
    <row r="6" spans="1:8">
      <c r="A6" s="135" t="s">
        <v>10</v>
      </c>
      <c r="B6" s="135"/>
      <c r="C6" s="135" t="s">
        <v>10</v>
      </c>
      <c r="D6" s="135" t="s">
        <v>12</v>
      </c>
      <c r="E6" s="136"/>
      <c r="F6" s="135" t="s">
        <v>615</v>
      </c>
      <c r="G6" s="135" t="s">
        <v>616</v>
      </c>
    </row>
    <row r="7" spans="1:8" ht="30.75">
      <c r="A7" s="64" t="s">
        <v>11</v>
      </c>
      <c r="B7" s="64"/>
      <c r="C7" s="64" t="s">
        <v>11</v>
      </c>
      <c r="D7" s="64" t="s">
        <v>408</v>
      </c>
      <c r="E7" s="108" t="s">
        <v>572</v>
      </c>
      <c r="F7" s="100" t="s">
        <v>611</v>
      </c>
      <c r="G7" s="67">
        <f>(G12*G10*G11)/G13</f>
        <v>0.60550999999999999</v>
      </c>
      <c r="H7" s="64"/>
    </row>
    <row r="8" spans="1:8" ht="30.75">
      <c r="A8" s="64" t="s">
        <v>11</v>
      </c>
      <c r="B8" s="64"/>
      <c r="C8" s="64" t="s">
        <v>11</v>
      </c>
      <c r="D8" s="64" t="s">
        <v>408</v>
      </c>
      <c r="E8" s="108" t="s">
        <v>572</v>
      </c>
      <c r="F8" s="100" t="s">
        <v>590</v>
      </c>
      <c r="G8" s="67">
        <f>ABS(((G12*G10)-(G14/G15))*G11)/G13</f>
        <v>0.59040999999999999</v>
      </c>
      <c r="H8" s="64"/>
    </row>
    <row r="9" spans="1:8">
      <c r="A9" s="54" t="s">
        <v>10</v>
      </c>
      <c r="B9" s="54"/>
      <c r="C9" s="54" t="s">
        <v>11</v>
      </c>
      <c r="D9" s="54" t="s">
        <v>372</v>
      </c>
      <c r="E9" s="54"/>
      <c r="F9" s="71" t="s">
        <v>617</v>
      </c>
      <c r="G9" s="110" t="s">
        <v>618</v>
      </c>
      <c r="H9" s="54"/>
    </row>
    <row r="10" spans="1:8" ht="30">
      <c r="A10" s="64" t="s">
        <v>11</v>
      </c>
      <c r="B10" s="64"/>
      <c r="C10" s="64" t="s">
        <v>11</v>
      </c>
      <c r="D10" s="64" t="s">
        <v>408</v>
      </c>
      <c r="E10" s="111" t="s">
        <v>619</v>
      </c>
      <c r="F10" s="100" t="s">
        <v>620</v>
      </c>
      <c r="G10" s="67">
        <f>IF(G9="","",VLOOKUP(G9,'Tool 05.3 Default Values'!B4:D56,2,FALSE))</f>
        <v>40.1</v>
      </c>
      <c r="H10" s="100" t="s">
        <v>621</v>
      </c>
    </row>
    <row r="11" spans="1:8" ht="30">
      <c r="A11" s="64" t="s">
        <v>11</v>
      </c>
      <c r="B11" s="64"/>
      <c r="C11" s="64" t="s">
        <v>11</v>
      </c>
      <c r="D11" s="64" t="s">
        <v>408</v>
      </c>
      <c r="E11" s="111" t="s">
        <v>622</v>
      </c>
      <c r="F11" s="100" t="s">
        <v>623</v>
      </c>
      <c r="G11" s="67">
        <f>IF(G9="","",VLOOKUP(G9,'Tool 05.3 Default Values'!B4:D56,3,FALSE))*0.001</f>
        <v>75.5</v>
      </c>
      <c r="H11" s="100" t="s">
        <v>624</v>
      </c>
    </row>
    <row r="12" spans="1:8" ht="30">
      <c r="A12" t="s">
        <v>10</v>
      </c>
      <c r="C12" t="s">
        <v>10</v>
      </c>
      <c r="D12" t="s">
        <v>99</v>
      </c>
      <c r="E12" s="112" t="s">
        <v>625</v>
      </c>
      <c r="F12" s="1" t="s">
        <v>626</v>
      </c>
      <c r="G12" s="41">
        <v>2</v>
      </c>
    </row>
    <row r="13" spans="1:8" ht="30">
      <c r="A13" t="s">
        <v>10</v>
      </c>
      <c r="C13" t="s">
        <v>10</v>
      </c>
      <c r="D13" t="s">
        <v>99</v>
      </c>
      <c r="E13" s="112" t="s">
        <v>627</v>
      </c>
      <c r="F13" s="1" t="s">
        <v>628</v>
      </c>
      <c r="G13" s="41">
        <v>10000</v>
      </c>
    </row>
    <row r="14" spans="1:8" ht="60">
      <c r="A14" t="s">
        <v>10</v>
      </c>
      <c r="C14" t="s">
        <v>10</v>
      </c>
      <c r="D14" t="s">
        <v>99</v>
      </c>
      <c r="E14" s="112" t="s">
        <v>629</v>
      </c>
      <c r="F14" s="1" t="s">
        <v>630</v>
      </c>
      <c r="G14" s="41">
        <v>2</v>
      </c>
    </row>
    <row r="15" spans="1:8" ht="33">
      <c r="A15" s="64" t="s">
        <v>11</v>
      </c>
      <c r="B15" s="64"/>
      <c r="C15" s="64" t="s">
        <v>11</v>
      </c>
      <c r="D15" s="64" t="s">
        <v>408</v>
      </c>
      <c r="E15" s="74" t="s">
        <v>631</v>
      </c>
      <c r="F15" s="100" t="s">
        <v>632</v>
      </c>
      <c r="G15" s="67">
        <v>1</v>
      </c>
      <c r="H15" s="64" t="s">
        <v>633</v>
      </c>
    </row>
    <row r="16" spans="1:8" ht="33">
      <c r="A16" s="64" t="s">
        <v>11</v>
      </c>
      <c r="B16" s="64"/>
      <c r="C16" s="64" t="s">
        <v>11</v>
      </c>
      <c r="D16" s="64" t="s">
        <v>408</v>
      </c>
      <c r="E16" s="74" t="s">
        <v>631</v>
      </c>
      <c r="F16" s="100" t="s">
        <v>634</v>
      </c>
      <c r="G16" s="67">
        <v>0.6</v>
      </c>
      <c r="H16" s="64" t="s">
        <v>633</v>
      </c>
    </row>
    <row r="17" spans="1:8" ht="18.75">
      <c r="A17" s="247" t="s">
        <v>614</v>
      </c>
      <c r="B17" s="247"/>
      <c r="C17" s="247"/>
      <c r="D17" s="247"/>
      <c r="E17" s="247"/>
      <c r="F17" s="247"/>
      <c r="G17" s="247"/>
      <c r="H17" s="247"/>
    </row>
    <row r="18" spans="1:8">
      <c r="A18" s="135" t="s">
        <v>10</v>
      </c>
      <c r="B18" s="135"/>
      <c r="C18" s="135" t="s">
        <v>10</v>
      </c>
      <c r="D18" s="135" t="s">
        <v>12</v>
      </c>
      <c r="E18" s="136"/>
      <c r="F18" s="135" t="s">
        <v>615</v>
      </c>
      <c r="G18" s="135" t="s">
        <v>635</v>
      </c>
    </row>
    <row r="19" spans="1:8" ht="30.75">
      <c r="A19" s="64" t="s">
        <v>11</v>
      </c>
      <c r="B19" s="64"/>
      <c r="C19" s="64" t="s">
        <v>11</v>
      </c>
      <c r="D19" s="64" t="s">
        <v>408</v>
      </c>
      <c r="E19" s="108" t="s">
        <v>572</v>
      </c>
      <c r="F19" s="100" t="s">
        <v>611</v>
      </c>
      <c r="G19" s="67">
        <f>(G24*G22*G23)/G25</f>
        <v>0.61934400000000001</v>
      </c>
      <c r="H19" s="64"/>
    </row>
    <row r="20" spans="1:8" ht="30.75">
      <c r="A20" s="64" t="s">
        <v>11</v>
      </c>
      <c r="B20" s="64"/>
      <c r="C20" s="64" t="s">
        <v>11</v>
      </c>
      <c r="D20" s="64" t="s">
        <v>408</v>
      </c>
      <c r="E20" s="108" t="s">
        <v>572</v>
      </c>
      <c r="F20" s="100" t="s">
        <v>590</v>
      </c>
      <c r="G20" s="67">
        <f>ABS(((G24*G22)-(G26/G27))*G23)/G25</f>
        <v>0.60438399999999992</v>
      </c>
      <c r="H20" s="64"/>
    </row>
    <row r="21" spans="1:8">
      <c r="A21" s="54" t="s">
        <v>10</v>
      </c>
      <c r="B21" s="54"/>
      <c r="C21" s="54" t="s">
        <v>11</v>
      </c>
      <c r="D21" s="54" t="s">
        <v>372</v>
      </c>
      <c r="E21" s="54"/>
      <c r="F21" s="71" t="s">
        <v>617</v>
      </c>
      <c r="G21" s="110" t="s">
        <v>636</v>
      </c>
      <c r="H21" s="54"/>
    </row>
    <row r="22" spans="1:8" ht="30">
      <c r="A22" s="64" t="s">
        <v>11</v>
      </c>
      <c r="B22" s="64"/>
      <c r="C22" s="64" t="s">
        <v>11</v>
      </c>
      <c r="D22" s="64" t="s">
        <v>408</v>
      </c>
      <c r="E22" s="111" t="s">
        <v>619</v>
      </c>
      <c r="F22" s="100" t="s">
        <v>620</v>
      </c>
      <c r="G22" s="67">
        <f>IF(G21="","",VLOOKUP(G21,'Tool 05.3 Default Values'!B4:D56,2,FALSE))</f>
        <v>41.4</v>
      </c>
      <c r="H22" s="100" t="s">
        <v>621</v>
      </c>
    </row>
    <row r="23" spans="1:8" ht="30">
      <c r="A23" s="64" t="s">
        <v>11</v>
      </c>
      <c r="B23" s="64"/>
      <c r="C23" s="64" t="s">
        <v>11</v>
      </c>
      <c r="D23" s="64" t="s">
        <v>408</v>
      </c>
      <c r="E23" s="111" t="s">
        <v>622</v>
      </c>
      <c r="F23" s="100" t="s">
        <v>623</v>
      </c>
      <c r="G23" s="67">
        <f>IF(G21="","",VLOOKUP(G21,'Tool 05.3 Default Values'!B4:D56,3,FALSE))*0.001</f>
        <v>74.8</v>
      </c>
      <c r="H23" s="100" t="s">
        <v>624</v>
      </c>
    </row>
    <row r="24" spans="1:8" ht="30">
      <c r="A24" t="s">
        <v>10</v>
      </c>
      <c r="C24" t="s">
        <v>10</v>
      </c>
      <c r="D24" t="s">
        <v>99</v>
      </c>
      <c r="E24" s="112" t="s">
        <v>625</v>
      </c>
      <c r="F24" s="1" t="s">
        <v>626</v>
      </c>
      <c r="G24" s="41">
        <v>2</v>
      </c>
    </row>
    <row r="25" spans="1:8" ht="30">
      <c r="A25" t="s">
        <v>10</v>
      </c>
      <c r="C25" t="s">
        <v>10</v>
      </c>
      <c r="D25" t="s">
        <v>99</v>
      </c>
      <c r="E25" s="112" t="s">
        <v>627</v>
      </c>
      <c r="F25" s="1" t="s">
        <v>628</v>
      </c>
      <c r="G25" s="41">
        <v>10000</v>
      </c>
    </row>
    <row r="26" spans="1:8" ht="60">
      <c r="A26" t="s">
        <v>10</v>
      </c>
      <c r="C26" t="s">
        <v>10</v>
      </c>
      <c r="D26" t="s">
        <v>99</v>
      </c>
      <c r="E26" s="112" t="s">
        <v>629</v>
      </c>
      <c r="F26" s="1" t="s">
        <v>630</v>
      </c>
      <c r="G26" s="41">
        <v>2</v>
      </c>
    </row>
    <row r="27" spans="1:8" ht="33">
      <c r="A27" s="64" t="s">
        <v>11</v>
      </c>
      <c r="B27" s="64"/>
      <c r="C27" s="64" t="s">
        <v>11</v>
      </c>
      <c r="D27" s="64" t="s">
        <v>408</v>
      </c>
      <c r="E27" s="74" t="s">
        <v>631</v>
      </c>
      <c r="F27" s="100" t="s">
        <v>632</v>
      </c>
      <c r="G27" s="67">
        <v>1</v>
      </c>
      <c r="H27" s="64" t="s">
        <v>633</v>
      </c>
    </row>
    <row r="28" spans="1:8" ht="33">
      <c r="A28" s="64" t="s">
        <v>11</v>
      </c>
      <c r="B28" s="64"/>
      <c r="C28" s="64" t="s">
        <v>11</v>
      </c>
      <c r="D28" s="64" t="s">
        <v>408</v>
      </c>
      <c r="E28" s="74" t="s">
        <v>631</v>
      </c>
      <c r="F28" s="100" t="s">
        <v>634</v>
      </c>
      <c r="G28" s="67">
        <v>0.6</v>
      </c>
      <c r="H28" s="64" t="s">
        <v>633</v>
      </c>
    </row>
    <row r="29" spans="1:8" ht="18.75">
      <c r="A29" s="247" t="s">
        <v>614</v>
      </c>
      <c r="B29" s="247"/>
      <c r="C29" s="247"/>
      <c r="D29" s="247"/>
      <c r="E29" s="247"/>
      <c r="F29" s="247"/>
      <c r="G29" s="247"/>
      <c r="H29" s="247"/>
    </row>
    <row r="30" spans="1:8">
      <c r="A30" s="135" t="s">
        <v>10</v>
      </c>
      <c r="B30" s="135"/>
      <c r="C30" s="135" t="s">
        <v>10</v>
      </c>
      <c r="D30" s="135" t="s">
        <v>12</v>
      </c>
      <c r="E30" s="136"/>
      <c r="F30" s="135" t="s">
        <v>615</v>
      </c>
      <c r="G30" s="135" t="s">
        <v>637</v>
      </c>
    </row>
    <row r="31" spans="1:8" ht="30.75">
      <c r="A31" s="64" t="s">
        <v>11</v>
      </c>
      <c r="B31" s="64"/>
      <c r="C31" s="64" t="s">
        <v>11</v>
      </c>
      <c r="D31" s="64" t="s">
        <v>408</v>
      </c>
      <c r="E31" s="108" t="s">
        <v>572</v>
      </c>
      <c r="F31" s="100" t="s">
        <v>611</v>
      </c>
      <c r="G31" s="67">
        <f>(G36*G34*G35)/G37</f>
        <v>0.54219000000000006</v>
      </c>
      <c r="H31" s="64"/>
    </row>
    <row r="32" spans="1:8" ht="30.75">
      <c r="A32" s="64" t="s">
        <v>11</v>
      </c>
      <c r="B32" s="64"/>
      <c r="C32" s="64" t="s">
        <v>11</v>
      </c>
      <c r="D32" s="64" t="s">
        <v>408</v>
      </c>
      <c r="E32" s="108" t="s">
        <v>572</v>
      </c>
      <c r="F32" s="100" t="s">
        <v>590</v>
      </c>
      <c r="G32" s="67">
        <f>ABS(((G36*G34)-(G38/G39))*G35)/G37</f>
        <v>0.53053000000000006</v>
      </c>
      <c r="H32" s="64"/>
    </row>
    <row r="33" spans="1:8">
      <c r="A33" s="54" t="s">
        <v>10</v>
      </c>
      <c r="B33" s="54"/>
      <c r="C33" s="54" t="s">
        <v>11</v>
      </c>
      <c r="D33" s="54" t="s">
        <v>372</v>
      </c>
      <c r="E33" s="54"/>
      <c r="F33" s="71" t="s">
        <v>617</v>
      </c>
      <c r="G33" s="110" t="s">
        <v>638</v>
      </c>
      <c r="H33" s="54"/>
    </row>
    <row r="34" spans="1:8" ht="30">
      <c r="A34" s="64" t="s">
        <v>11</v>
      </c>
      <c r="B34" s="64"/>
      <c r="C34" s="64" t="s">
        <v>11</v>
      </c>
      <c r="D34" s="64" t="s">
        <v>408</v>
      </c>
      <c r="E34" s="111" t="s">
        <v>619</v>
      </c>
      <c r="F34" s="100" t="s">
        <v>620</v>
      </c>
      <c r="G34" s="67">
        <f>IF(G33="","",VLOOKUP(G33,'Tool 05.3 Default Values'!B4:D56,2,FALSE))</f>
        <v>46.5</v>
      </c>
      <c r="H34" s="100" t="s">
        <v>621</v>
      </c>
    </row>
    <row r="35" spans="1:8" ht="30">
      <c r="A35" s="64" t="s">
        <v>11</v>
      </c>
      <c r="B35" s="64"/>
      <c r="C35" s="64" t="s">
        <v>11</v>
      </c>
      <c r="D35" s="64" t="s">
        <v>408</v>
      </c>
      <c r="E35" s="111" t="s">
        <v>622</v>
      </c>
      <c r="F35" s="100" t="s">
        <v>623</v>
      </c>
      <c r="G35" s="67">
        <f>IF(G33="","",VLOOKUP(G33,'Tool 05.3 Default Values'!B4:D56,3,FALSE))*0.001</f>
        <v>58.300000000000004</v>
      </c>
      <c r="H35" s="100" t="s">
        <v>624</v>
      </c>
    </row>
    <row r="36" spans="1:8" ht="30">
      <c r="A36" t="s">
        <v>10</v>
      </c>
      <c r="C36" t="s">
        <v>10</v>
      </c>
      <c r="D36" t="s">
        <v>99</v>
      </c>
      <c r="E36" s="112" t="s">
        <v>625</v>
      </c>
      <c r="F36" s="1" t="s">
        <v>626</v>
      </c>
      <c r="G36" s="41">
        <v>2</v>
      </c>
    </row>
    <row r="37" spans="1:8" ht="30">
      <c r="A37" t="s">
        <v>10</v>
      </c>
      <c r="C37" t="s">
        <v>10</v>
      </c>
      <c r="D37" t="s">
        <v>99</v>
      </c>
      <c r="E37" s="112" t="s">
        <v>627</v>
      </c>
      <c r="F37" s="1" t="s">
        <v>628</v>
      </c>
      <c r="G37" s="41">
        <v>10000</v>
      </c>
    </row>
    <row r="38" spans="1:8" ht="60">
      <c r="A38" t="s">
        <v>10</v>
      </c>
      <c r="C38" t="s">
        <v>10</v>
      </c>
      <c r="D38" t="s">
        <v>99</v>
      </c>
      <c r="E38" s="112" t="s">
        <v>629</v>
      </c>
      <c r="F38" s="1" t="s">
        <v>630</v>
      </c>
      <c r="G38" s="41">
        <v>2</v>
      </c>
    </row>
    <row r="39" spans="1:8" ht="33">
      <c r="A39" s="64" t="s">
        <v>11</v>
      </c>
      <c r="B39" s="64"/>
      <c r="C39" s="64" t="s">
        <v>11</v>
      </c>
      <c r="D39" s="64" t="s">
        <v>408</v>
      </c>
      <c r="E39" s="74" t="s">
        <v>631</v>
      </c>
      <c r="F39" s="100" t="s">
        <v>632</v>
      </c>
      <c r="G39" s="67">
        <v>1</v>
      </c>
      <c r="H39" s="64" t="s">
        <v>633</v>
      </c>
    </row>
    <row r="40" spans="1:8" ht="33">
      <c r="A40" s="64" t="s">
        <v>11</v>
      </c>
      <c r="B40" s="64"/>
      <c r="C40" s="64" t="s">
        <v>11</v>
      </c>
      <c r="D40" s="64" t="s">
        <v>408</v>
      </c>
      <c r="E40" s="74" t="s">
        <v>631</v>
      </c>
      <c r="F40" s="100" t="s">
        <v>634</v>
      </c>
      <c r="G40" s="67">
        <v>0.6</v>
      </c>
      <c r="H40" s="64" t="s">
        <v>633</v>
      </c>
    </row>
  </sheetData>
  <mergeCells count="4">
    <mergeCell ref="A2:H2"/>
    <mergeCell ref="A5:H5"/>
    <mergeCell ref="A17:H17"/>
    <mergeCell ref="A29:H29"/>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32364A7-748F-CF44-9D42-D7B8C22329C0}">
          <x14:formula1>
            <xm:f>'Tool 05.3 Default Values'!$B$4:$B$56</xm:f>
          </x14:formula1>
          <xm:sqref>G9 G21 G33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9F2E-2974-D348-9812-36251ED7CC76}">
  <dimension ref="B1:D56"/>
  <sheetViews>
    <sheetView workbookViewId="0">
      <selection activeCell="G10" sqref="G10"/>
    </sheetView>
  </sheetViews>
  <sheetFormatPr defaultColWidth="8.85546875" defaultRowHeight="15"/>
  <cols>
    <col min="2" max="2" width="33.85546875" bestFit="1" customWidth="1"/>
    <col min="3" max="3" width="20.7109375" customWidth="1"/>
    <col min="4" max="4" width="40.42578125" customWidth="1"/>
  </cols>
  <sheetData>
    <row r="1" spans="2:4" ht="15.75" thickBot="1"/>
    <row r="2" spans="2:4" ht="19.5" thickBot="1">
      <c r="B2" s="248" t="s">
        <v>639</v>
      </c>
      <c r="C2" s="249"/>
      <c r="D2" s="250"/>
    </row>
    <row r="3" spans="2:4" ht="32.25" thickBot="1">
      <c r="B3" s="113" t="s">
        <v>640</v>
      </c>
      <c r="C3" s="114" t="s">
        <v>641</v>
      </c>
      <c r="D3" s="114" t="s">
        <v>642</v>
      </c>
    </row>
    <row r="4" spans="2:4">
      <c r="B4" s="115" t="s">
        <v>618</v>
      </c>
      <c r="C4" s="116">
        <v>40.1</v>
      </c>
      <c r="D4" s="137">
        <v>75500</v>
      </c>
    </row>
    <row r="5" spans="2:4">
      <c r="B5" s="117" t="s">
        <v>643</v>
      </c>
      <c r="C5" s="118">
        <v>27.5</v>
      </c>
      <c r="D5" s="138">
        <v>85400</v>
      </c>
    </row>
    <row r="6" spans="2:4">
      <c r="B6" s="117" t="s">
        <v>644</v>
      </c>
      <c r="C6" s="118">
        <v>40.9</v>
      </c>
      <c r="D6" s="138">
        <v>70400</v>
      </c>
    </row>
    <row r="7" spans="2:4">
      <c r="B7" s="117" t="s">
        <v>645</v>
      </c>
      <c r="C7" s="118">
        <v>42.5</v>
      </c>
      <c r="D7" s="138">
        <v>73000</v>
      </c>
    </row>
    <row r="8" spans="2:4">
      <c r="B8" s="117" t="s">
        <v>646</v>
      </c>
      <c r="C8" s="118">
        <v>42.5</v>
      </c>
      <c r="D8" s="138">
        <v>73000</v>
      </c>
    </row>
    <row r="9" spans="2:4">
      <c r="B9" s="117" t="s">
        <v>647</v>
      </c>
      <c r="C9" s="118">
        <v>42.5</v>
      </c>
      <c r="D9" s="138">
        <v>73000</v>
      </c>
    </row>
    <row r="10" spans="2:4">
      <c r="B10" s="117" t="s">
        <v>648</v>
      </c>
      <c r="C10" s="118">
        <v>42</v>
      </c>
      <c r="D10" s="138">
        <v>74400</v>
      </c>
    </row>
    <row r="11" spans="2:4">
      <c r="B11" s="117" t="s">
        <v>649</v>
      </c>
      <c r="C11" s="118">
        <v>42.4</v>
      </c>
      <c r="D11" s="138">
        <v>73700</v>
      </c>
    </row>
    <row r="12" spans="2:4">
      <c r="B12" s="117" t="s">
        <v>650</v>
      </c>
      <c r="C12" s="118">
        <v>32.1</v>
      </c>
      <c r="D12" s="138">
        <v>79200</v>
      </c>
    </row>
    <row r="13" spans="2:4">
      <c r="B13" s="117" t="s">
        <v>636</v>
      </c>
      <c r="C13" s="118">
        <v>41.4</v>
      </c>
      <c r="D13" s="138">
        <v>74800</v>
      </c>
    </row>
    <row r="14" spans="2:4">
      <c r="B14" s="117" t="s">
        <v>651</v>
      </c>
      <c r="C14" s="118">
        <v>39.799999999999997</v>
      </c>
      <c r="D14" s="138">
        <v>78800</v>
      </c>
    </row>
    <row r="15" spans="2:4">
      <c r="B15" s="117" t="s">
        <v>652</v>
      </c>
      <c r="C15" s="118">
        <v>44.8</v>
      </c>
      <c r="D15" s="138">
        <v>65600</v>
      </c>
    </row>
    <row r="16" spans="2:4">
      <c r="B16" s="117" t="s">
        <v>653</v>
      </c>
      <c r="C16" s="118">
        <v>44.9</v>
      </c>
      <c r="D16" s="138">
        <v>68600</v>
      </c>
    </row>
    <row r="17" spans="2:4">
      <c r="B17" s="117" t="s">
        <v>654</v>
      </c>
      <c r="C17" s="118">
        <v>41.8</v>
      </c>
      <c r="D17" s="138">
        <v>76300</v>
      </c>
    </row>
    <row r="18" spans="2:4">
      <c r="B18" s="117" t="s">
        <v>655</v>
      </c>
      <c r="C18" s="118">
        <v>33.5</v>
      </c>
      <c r="D18" s="138">
        <v>89900</v>
      </c>
    </row>
    <row r="19" spans="2:4">
      <c r="B19" s="117" t="s">
        <v>656</v>
      </c>
      <c r="C19" s="118">
        <v>33.5</v>
      </c>
      <c r="D19" s="138">
        <v>75200</v>
      </c>
    </row>
    <row r="20" spans="2:4">
      <c r="B20" s="117" t="s">
        <v>657</v>
      </c>
      <c r="C20" s="118">
        <v>29.7</v>
      </c>
      <c r="D20" s="138">
        <v>115000</v>
      </c>
    </row>
    <row r="21" spans="2:4">
      <c r="B21" s="117" t="s">
        <v>658</v>
      </c>
      <c r="C21" s="118">
        <v>36.299999999999997</v>
      </c>
      <c r="D21" s="138">
        <v>76600</v>
      </c>
    </row>
    <row r="22" spans="2:4">
      <c r="B22" s="117" t="s">
        <v>659</v>
      </c>
      <c r="C22" s="118">
        <v>47.5</v>
      </c>
      <c r="D22" s="138">
        <v>69000</v>
      </c>
    </row>
    <row r="23" spans="2:4">
      <c r="B23" s="117" t="s">
        <v>660</v>
      </c>
      <c r="C23" s="118">
        <v>33.700000000000003</v>
      </c>
      <c r="D23" s="138">
        <v>74400</v>
      </c>
    </row>
    <row r="24" spans="2:4">
      <c r="B24" s="117" t="s">
        <v>661</v>
      </c>
      <c r="C24" s="118">
        <v>33.700000000000003</v>
      </c>
      <c r="D24" s="138">
        <v>74400</v>
      </c>
    </row>
    <row r="25" spans="2:4">
      <c r="B25" s="117" t="s">
        <v>662</v>
      </c>
      <c r="C25" s="118">
        <v>33.700000000000003</v>
      </c>
      <c r="D25" s="138">
        <v>74400</v>
      </c>
    </row>
    <row r="26" spans="2:4">
      <c r="B26" s="117" t="s">
        <v>663</v>
      </c>
      <c r="C26" s="118">
        <v>21.6</v>
      </c>
      <c r="D26" s="138">
        <v>101000</v>
      </c>
    </row>
    <row r="27" spans="2:4">
      <c r="B27" s="117" t="s">
        <v>664</v>
      </c>
      <c r="C27" s="118">
        <v>24</v>
      </c>
      <c r="D27" s="138">
        <v>101000</v>
      </c>
    </row>
    <row r="28" spans="2:4">
      <c r="B28" s="117" t="s">
        <v>665</v>
      </c>
      <c r="C28" s="118">
        <v>19.899999999999999</v>
      </c>
      <c r="D28" s="138">
        <v>99700</v>
      </c>
    </row>
    <row r="29" spans="2:4">
      <c r="B29" s="117" t="s">
        <v>666</v>
      </c>
      <c r="C29" s="118">
        <v>11.5</v>
      </c>
      <c r="D29" s="138">
        <v>100000</v>
      </c>
    </row>
    <row r="30" spans="2:4">
      <c r="B30" s="117" t="s">
        <v>667</v>
      </c>
      <c r="C30" s="118">
        <v>5.5</v>
      </c>
      <c r="D30" s="138">
        <v>115000</v>
      </c>
    </row>
    <row r="31" spans="2:4">
      <c r="B31" s="117" t="s">
        <v>668</v>
      </c>
      <c r="C31" s="118">
        <v>7.1</v>
      </c>
      <c r="D31" s="138">
        <v>125000</v>
      </c>
    </row>
    <row r="32" spans="2:4">
      <c r="B32" s="117" t="s">
        <v>669</v>
      </c>
      <c r="C32" s="118">
        <v>15.1</v>
      </c>
      <c r="D32" s="138">
        <v>109000</v>
      </c>
    </row>
    <row r="33" spans="2:4">
      <c r="B33" s="117" t="s">
        <v>670</v>
      </c>
      <c r="C33" s="118">
        <v>15.1</v>
      </c>
      <c r="D33" s="138">
        <v>109000</v>
      </c>
    </row>
    <row r="34" spans="2:4">
      <c r="B34" s="117" t="s">
        <v>671</v>
      </c>
      <c r="C34" s="118">
        <v>25.1</v>
      </c>
      <c r="D34" s="138">
        <v>119000</v>
      </c>
    </row>
    <row r="35" spans="2:4">
      <c r="B35" s="117" t="s">
        <v>672</v>
      </c>
      <c r="C35" s="118">
        <v>25.1</v>
      </c>
      <c r="D35" s="138">
        <v>119000</v>
      </c>
    </row>
    <row r="36" spans="2:4">
      <c r="B36" s="117" t="s">
        <v>673</v>
      </c>
      <c r="C36" s="118">
        <v>14.1</v>
      </c>
      <c r="D36" s="138">
        <v>95300</v>
      </c>
    </row>
    <row r="37" spans="2:4">
      <c r="B37" s="117" t="s">
        <v>674</v>
      </c>
      <c r="C37" s="118">
        <v>19.600000000000001</v>
      </c>
      <c r="D37" s="138">
        <v>54100</v>
      </c>
    </row>
    <row r="38" spans="2:4">
      <c r="B38" s="117" t="s">
        <v>675</v>
      </c>
      <c r="C38" s="118">
        <v>19.600000000000001</v>
      </c>
      <c r="D38" s="138">
        <v>54100</v>
      </c>
    </row>
    <row r="39" spans="2:4">
      <c r="B39" s="117" t="s">
        <v>676</v>
      </c>
      <c r="C39" s="118">
        <v>1.2</v>
      </c>
      <c r="D39" s="138">
        <v>308000</v>
      </c>
    </row>
    <row r="40" spans="2:4">
      <c r="B40" s="117" t="s">
        <v>677</v>
      </c>
      <c r="C40" s="118">
        <v>3.8</v>
      </c>
      <c r="D40" s="138">
        <v>202000</v>
      </c>
    </row>
    <row r="41" spans="2:4">
      <c r="B41" s="117" t="s">
        <v>638</v>
      </c>
      <c r="C41" s="118">
        <v>46.5</v>
      </c>
      <c r="D41" s="138">
        <v>58300</v>
      </c>
    </row>
    <row r="42" spans="2:4" ht="30">
      <c r="B42" s="119" t="s">
        <v>678</v>
      </c>
      <c r="C42" s="118">
        <v>7</v>
      </c>
      <c r="D42" s="138">
        <v>121000</v>
      </c>
    </row>
    <row r="43" spans="2:4">
      <c r="B43" s="117" t="s">
        <v>679</v>
      </c>
      <c r="C43" s="118">
        <v>20.3</v>
      </c>
      <c r="D43" s="138">
        <v>74400</v>
      </c>
    </row>
    <row r="44" spans="2:4">
      <c r="B44" s="117" t="s">
        <v>680</v>
      </c>
      <c r="C44" s="118">
        <v>7.8</v>
      </c>
      <c r="D44" s="138">
        <v>108000</v>
      </c>
    </row>
    <row r="45" spans="2:4">
      <c r="B45" s="117" t="s">
        <v>681</v>
      </c>
      <c r="C45" s="118">
        <v>7.9</v>
      </c>
      <c r="D45" s="138">
        <v>132000</v>
      </c>
    </row>
    <row r="46" spans="2:4">
      <c r="B46" s="117" t="s">
        <v>682</v>
      </c>
      <c r="C46" s="118">
        <v>5.9</v>
      </c>
      <c r="D46" s="138">
        <v>110000</v>
      </c>
    </row>
    <row r="47" spans="2:4">
      <c r="B47" s="117" t="s">
        <v>683</v>
      </c>
      <c r="C47" s="118">
        <v>5.9</v>
      </c>
      <c r="D47" s="138">
        <v>117000</v>
      </c>
    </row>
    <row r="48" spans="2:4">
      <c r="B48" s="117" t="s">
        <v>684</v>
      </c>
      <c r="C48" s="118">
        <v>14.9</v>
      </c>
      <c r="D48" s="138">
        <v>132000</v>
      </c>
    </row>
    <row r="49" spans="2:4">
      <c r="B49" s="117" t="s">
        <v>685</v>
      </c>
      <c r="C49" s="118">
        <v>13.6</v>
      </c>
      <c r="D49" s="138">
        <v>84300</v>
      </c>
    </row>
    <row r="50" spans="2:4">
      <c r="B50" s="117" t="s">
        <v>686</v>
      </c>
      <c r="C50" s="118">
        <v>13.6</v>
      </c>
      <c r="D50" s="138">
        <v>84300</v>
      </c>
    </row>
    <row r="51" spans="2:4">
      <c r="B51" s="117" t="s">
        <v>687</v>
      </c>
      <c r="C51" s="118">
        <v>13.8</v>
      </c>
      <c r="D51" s="138">
        <v>95300</v>
      </c>
    </row>
    <row r="52" spans="2:4">
      <c r="B52" s="117" t="s">
        <v>688</v>
      </c>
      <c r="C52" s="118">
        <v>25.4</v>
      </c>
      <c r="D52" s="138">
        <v>66000</v>
      </c>
    </row>
    <row r="53" spans="2:4">
      <c r="B53" s="117" t="s">
        <v>689</v>
      </c>
      <c r="C53" s="118">
        <v>25.4</v>
      </c>
      <c r="D53" s="138">
        <v>66000</v>
      </c>
    </row>
    <row r="54" spans="2:4">
      <c r="B54" s="117" t="s">
        <v>690</v>
      </c>
      <c r="C54" s="118">
        <v>25.4</v>
      </c>
      <c r="D54" s="138">
        <v>66000</v>
      </c>
    </row>
    <row r="55" spans="2:4">
      <c r="B55" s="117" t="s">
        <v>691</v>
      </c>
      <c r="C55" s="118">
        <v>6.8</v>
      </c>
      <c r="D55" s="138">
        <v>117000</v>
      </c>
    </row>
    <row r="56" spans="2:4" ht="15.75" thickBot="1">
      <c r="B56" s="120" t="s">
        <v>692</v>
      </c>
      <c r="C56" s="121" t="s">
        <v>13</v>
      </c>
      <c r="D56" s="139">
        <v>183000</v>
      </c>
    </row>
  </sheetData>
  <mergeCells count="1">
    <mergeCell ref="B2:D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DEAC1-C568-47B5-A5DA-609143C2A0DD}">
  <dimension ref="A1:F69"/>
  <sheetViews>
    <sheetView workbookViewId="0">
      <selection activeCell="F52" sqref="F52"/>
    </sheetView>
  </sheetViews>
  <sheetFormatPr defaultColWidth="8.85546875" defaultRowHeight="15"/>
  <cols>
    <col min="1" max="1" width="18.140625" bestFit="1" customWidth="1"/>
    <col min="2" max="2" width="18.140625" customWidth="1"/>
    <col min="3" max="3" width="16.140625" bestFit="1" customWidth="1"/>
    <col min="4" max="4" width="44.42578125" customWidth="1"/>
    <col min="5" max="5" width="29.28515625" bestFit="1" customWidth="1"/>
    <col min="6" max="6" width="81" customWidth="1"/>
  </cols>
  <sheetData>
    <row r="1" spans="1:6" ht="18.75">
      <c r="A1" s="96" t="s">
        <v>0</v>
      </c>
      <c r="B1" s="96" t="s">
        <v>4</v>
      </c>
      <c r="C1" s="96" t="s">
        <v>5</v>
      </c>
      <c r="D1" s="63" t="s">
        <v>6</v>
      </c>
      <c r="E1" s="63" t="s">
        <v>2</v>
      </c>
      <c r="F1" s="96" t="s">
        <v>7</v>
      </c>
    </row>
    <row r="2" spans="1:6" ht="18.75">
      <c r="A2" s="97"/>
      <c r="B2" s="97"/>
      <c r="C2" s="98"/>
      <c r="D2" s="97" t="s">
        <v>693</v>
      </c>
      <c r="E2" s="98"/>
      <c r="F2" s="98"/>
    </row>
    <row r="3" spans="1:6" ht="120">
      <c r="A3" t="s">
        <v>10</v>
      </c>
      <c r="B3" t="s">
        <v>127</v>
      </c>
      <c r="D3" s="1" t="s">
        <v>694</v>
      </c>
      <c r="E3" t="s">
        <v>11</v>
      </c>
      <c r="F3" s="1" t="s">
        <v>695</v>
      </c>
    </row>
    <row r="4" spans="1:6" ht="18.75">
      <c r="A4" s="97"/>
      <c r="B4" s="97"/>
      <c r="C4" s="98"/>
      <c r="D4" s="97" t="s">
        <v>696</v>
      </c>
      <c r="E4" s="98"/>
      <c r="F4" s="98"/>
    </row>
    <row r="5" spans="1:6">
      <c r="A5" s="64" t="s">
        <v>11</v>
      </c>
      <c r="B5" s="64" t="s">
        <v>325</v>
      </c>
      <c r="C5" s="99" t="s">
        <v>697</v>
      </c>
      <c r="D5" s="64" t="s">
        <v>698</v>
      </c>
      <c r="E5" s="67" t="s">
        <v>11</v>
      </c>
      <c r="F5" s="67">
        <v>16.04</v>
      </c>
    </row>
    <row r="6" spans="1:6">
      <c r="A6" s="64" t="s">
        <v>11</v>
      </c>
      <c r="B6" s="64" t="s">
        <v>325</v>
      </c>
      <c r="C6" s="64" t="s">
        <v>699</v>
      </c>
      <c r="D6" s="64" t="s">
        <v>700</v>
      </c>
      <c r="E6" s="67" t="s">
        <v>11</v>
      </c>
      <c r="F6" s="67">
        <v>28.01</v>
      </c>
    </row>
    <row r="7" spans="1:6">
      <c r="A7" s="64" t="s">
        <v>11</v>
      </c>
      <c r="B7" s="64" t="s">
        <v>325</v>
      </c>
      <c r="C7" s="64" t="s">
        <v>701</v>
      </c>
      <c r="D7" s="64" t="s">
        <v>702</v>
      </c>
      <c r="E7" s="67" t="s">
        <v>11</v>
      </c>
      <c r="F7" s="67">
        <v>44.01</v>
      </c>
    </row>
    <row r="8" spans="1:6">
      <c r="A8" s="64" t="s">
        <v>11</v>
      </c>
      <c r="B8" s="64" t="s">
        <v>325</v>
      </c>
      <c r="C8" s="64" t="s">
        <v>703</v>
      </c>
      <c r="D8" s="64" t="s">
        <v>704</v>
      </c>
      <c r="E8" s="67" t="s">
        <v>11</v>
      </c>
      <c r="F8" s="67">
        <v>32</v>
      </c>
    </row>
    <row r="9" spans="1:6">
      <c r="A9" s="64" t="s">
        <v>11</v>
      </c>
      <c r="B9" s="64" t="s">
        <v>325</v>
      </c>
      <c r="C9" s="64" t="s">
        <v>705</v>
      </c>
      <c r="D9" s="64" t="s">
        <v>706</v>
      </c>
      <c r="E9" s="67" t="s">
        <v>11</v>
      </c>
      <c r="F9" s="67">
        <v>2.02</v>
      </c>
    </row>
    <row r="10" spans="1:6">
      <c r="A10" s="64" t="s">
        <v>11</v>
      </c>
      <c r="B10" s="64" t="s">
        <v>325</v>
      </c>
      <c r="C10" s="64" t="s">
        <v>707</v>
      </c>
      <c r="D10" s="64" t="s">
        <v>708</v>
      </c>
      <c r="E10" s="67" t="s">
        <v>11</v>
      </c>
      <c r="F10" s="67">
        <v>28.02</v>
      </c>
    </row>
    <row r="11" spans="1:6">
      <c r="A11" s="64" t="s">
        <v>11</v>
      </c>
      <c r="B11" s="64" t="s">
        <v>325</v>
      </c>
      <c r="C11" s="64" t="s">
        <v>709</v>
      </c>
      <c r="D11" s="64" t="s">
        <v>710</v>
      </c>
      <c r="E11" s="67" t="s">
        <v>11</v>
      </c>
      <c r="F11" s="67">
        <v>12</v>
      </c>
    </row>
    <row r="12" spans="1:6">
      <c r="A12" s="64" t="s">
        <v>11</v>
      </c>
      <c r="B12" s="64" t="s">
        <v>325</v>
      </c>
      <c r="C12" s="64" t="s">
        <v>711</v>
      </c>
      <c r="D12" s="64" t="s">
        <v>712</v>
      </c>
      <c r="E12" s="67" t="s">
        <v>11</v>
      </c>
      <c r="F12" s="67">
        <v>1.01</v>
      </c>
    </row>
    <row r="13" spans="1:6">
      <c r="A13" s="64" t="s">
        <v>11</v>
      </c>
      <c r="B13" s="64" t="s">
        <v>325</v>
      </c>
      <c r="C13" s="64" t="s">
        <v>713</v>
      </c>
      <c r="D13" s="64" t="s">
        <v>714</v>
      </c>
      <c r="E13" s="67" t="s">
        <v>11</v>
      </c>
      <c r="F13" s="67">
        <v>16</v>
      </c>
    </row>
    <row r="14" spans="1:6">
      <c r="A14" s="64" t="s">
        <v>11</v>
      </c>
      <c r="B14" s="64" t="s">
        <v>325</v>
      </c>
      <c r="C14" s="64" t="s">
        <v>715</v>
      </c>
      <c r="D14" s="64" t="s">
        <v>716</v>
      </c>
      <c r="E14" s="67" t="s">
        <v>11</v>
      </c>
      <c r="F14" s="67">
        <v>14.01</v>
      </c>
    </row>
    <row r="15" spans="1:6">
      <c r="A15" s="64" t="s">
        <v>11</v>
      </c>
      <c r="B15" s="64" t="s">
        <v>325</v>
      </c>
      <c r="C15" s="64" t="s">
        <v>717</v>
      </c>
      <c r="D15" s="64" t="s">
        <v>718</v>
      </c>
      <c r="E15" s="67" t="s">
        <v>11</v>
      </c>
      <c r="F15" s="67">
        <v>101325</v>
      </c>
    </row>
    <row r="16" spans="1:6">
      <c r="A16" s="64" t="s">
        <v>11</v>
      </c>
      <c r="B16" s="64" t="s">
        <v>325</v>
      </c>
      <c r="C16" s="64" t="s">
        <v>719</v>
      </c>
      <c r="D16" s="64" t="s">
        <v>720</v>
      </c>
      <c r="E16" s="67" t="s">
        <v>11</v>
      </c>
      <c r="F16" s="67">
        <v>8314.4719999999998</v>
      </c>
    </row>
    <row r="17" spans="1:6">
      <c r="A17" s="64" t="s">
        <v>11</v>
      </c>
      <c r="B17" s="64" t="s">
        <v>325</v>
      </c>
      <c r="C17" s="64" t="s">
        <v>721</v>
      </c>
      <c r="D17" s="64" t="s">
        <v>722</v>
      </c>
      <c r="E17" s="67" t="s">
        <v>11</v>
      </c>
      <c r="F17" s="67">
        <v>273.14999999999998</v>
      </c>
    </row>
    <row r="18" spans="1:6">
      <c r="A18" s="64" t="s">
        <v>11</v>
      </c>
      <c r="B18" s="64" t="s">
        <v>325</v>
      </c>
      <c r="C18" s="64" t="s">
        <v>723</v>
      </c>
      <c r="D18" s="64" t="s">
        <v>724</v>
      </c>
      <c r="E18" s="67" t="s">
        <v>11</v>
      </c>
      <c r="F18" s="67">
        <v>0.21</v>
      </c>
    </row>
    <row r="19" spans="1:6">
      <c r="A19" s="64" t="s">
        <v>11</v>
      </c>
      <c r="B19" s="64" t="s">
        <v>325</v>
      </c>
      <c r="C19" s="64" t="s">
        <v>265</v>
      </c>
      <c r="D19" s="64" t="s">
        <v>725</v>
      </c>
      <c r="E19" s="67" t="s">
        <v>11</v>
      </c>
      <c r="F19" s="67">
        <v>25</v>
      </c>
    </row>
    <row r="20" spans="1:6" ht="30">
      <c r="A20" s="64" t="s">
        <v>11</v>
      </c>
      <c r="B20" s="64" t="s">
        <v>325</v>
      </c>
      <c r="C20" s="64" t="s">
        <v>726</v>
      </c>
      <c r="D20" s="100" t="s">
        <v>727</v>
      </c>
      <c r="E20" s="67" t="s">
        <v>11</v>
      </c>
      <c r="F20" s="67">
        <v>22.414000000000001</v>
      </c>
    </row>
    <row r="21" spans="1:6">
      <c r="A21" s="64" t="s">
        <v>11</v>
      </c>
      <c r="B21" s="64" t="s">
        <v>325</v>
      </c>
      <c r="C21" s="64" t="s">
        <v>728</v>
      </c>
      <c r="D21" s="64" t="s">
        <v>729</v>
      </c>
      <c r="E21" s="67" t="s">
        <v>11</v>
      </c>
      <c r="F21" s="67">
        <v>0.71599999999999997</v>
      </c>
    </row>
    <row r="22" spans="1:6" ht="30">
      <c r="A22" s="64" t="s">
        <v>11</v>
      </c>
      <c r="B22" s="64" t="s">
        <v>325</v>
      </c>
      <c r="C22" s="64" t="s">
        <v>730</v>
      </c>
      <c r="D22" s="100" t="s">
        <v>731</v>
      </c>
      <c r="E22" s="67" t="s">
        <v>11</v>
      </c>
      <c r="F22" s="67" t="s">
        <v>732</v>
      </c>
    </row>
    <row r="23" spans="1:6" ht="30">
      <c r="A23" s="64" t="s">
        <v>11</v>
      </c>
      <c r="B23" s="64" t="s">
        <v>325</v>
      </c>
      <c r="C23" s="64" t="s">
        <v>733</v>
      </c>
      <c r="D23" s="100" t="s">
        <v>734</v>
      </c>
      <c r="E23" s="67" t="s">
        <v>11</v>
      </c>
      <c r="F23" s="67">
        <v>1</v>
      </c>
    </row>
    <row r="24" spans="1:6">
      <c r="A24" s="64" t="s">
        <v>11</v>
      </c>
      <c r="B24" s="64" t="s">
        <v>325</v>
      </c>
      <c r="C24" s="64" t="s">
        <v>735</v>
      </c>
      <c r="D24" s="64" t="s">
        <v>736</v>
      </c>
      <c r="E24" s="67" t="s">
        <v>11</v>
      </c>
      <c r="F24" s="67">
        <v>1</v>
      </c>
    </row>
    <row r="25" spans="1:6" ht="30">
      <c r="A25" s="64" t="s">
        <v>11</v>
      </c>
      <c r="B25" s="64" t="s">
        <v>325</v>
      </c>
      <c r="C25" s="64" t="s">
        <v>737</v>
      </c>
      <c r="D25" s="100" t="s">
        <v>738</v>
      </c>
      <c r="E25" s="67" t="s">
        <v>11</v>
      </c>
      <c r="F25" s="67">
        <v>1</v>
      </c>
    </row>
    <row r="26" spans="1:6" ht="30">
      <c r="A26" s="64" t="s">
        <v>11</v>
      </c>
      <c r="B26" s="64" t="s">
        <v>325</v>
      </c>
      <c r="C26" s="64" t="s">
        <v>739</v>
      </c>
      <c r="D26" s="100" t="s">
        <v>740</v>
      </c>
      <c r="E26" s="67" t="s">
        <v>11</v>
      </c>
      <c r="F26" s="67">
        <v>4</v>
      </c>
    </row>
    <row r="27" spans="1:6">
      <c r="A27" s="64" t="s">
        <v>11</v>
      </c>
      <c r="B27" s="64" t="s">
        <v>325</v>
      </c>
      <c r="C27" s="64" t="s">
        <v>741</v>
      </c>
      <c r="D27" s="64" t="s">
        <v>742</v>
      </c>
      <c r="E27" s="67" t="s">
        <v>11</v>
      </c>
      <c r="F27" s="67">
        <v>2</v>
      </c>
    </row>
    <row r="28" spans="1:6">
      <c r="A28" s="64" t="s">
        <v>11</v>
      </c>
      <c r="B28" s="64" t="s">
        <v>325</v>
      </c>
      <c r="C28" s="64" t="s">
        <v>743</v>
      </c>
      <c r="D28" s="64" t="s">
        <v>744</v>
      </c>
      <c r="E28" s="67" t="s">
        <v>11</v>
      </c>
      <c r="F28" s="67">
        <v>1</v>
      </c>
    </row>
    <row r="29" spans="1:6" ht="30">
      <c r="A29" s="64" t="s">
        <v>11</v>
      </c>
      <c r="B29" s="64" t="s">
        <v>325</v>
      </c>
      <c r="C29" s="64" t="s">
        <v>745</v>
      </c>
      <c r="D29" s="100" t="s">
        <v>746</v>
      </c>
      <c r="E29" s="67" t="s">
        <v>11</v>
      </c>
      <c r="F29" s="67">
        <v>2</v>
      </c>
    </row>
    <row r="30" spans="1:6">
      <c r="A30" s="64" t="s">
        <v>11</v>
      </c>
      <c r="B30" s="64" t="s">
        <v>325</v>
      </c>
      <c r="C30" s="64" t="s">
        <v>747</v>
      </c>
      <c r="D30" s="64" t="s">
        <v>748</v>
      </c>
      <c r="E30" s="67" t="s">
        <v>11</v>
      </c>
      <c r="F30" s="67">
        <v>2</v>
      </c>
    </row>
    <row r="31" spans="1:6">
      <c r="A31" s="64" t="s">
        <v>11</v>
      </c>
      <c r="B31" s="64" t="s">
        <v>325</v>
      </c>
      <c r="C31" s="64" t="s">
        <v>749</v>
      </c>
      <c r="D31" s="64" t="s">
        <v>750</v>
      </c>
      <c r="E31" s="67" t="s">
        <v>11</v>
      </c>
      <c r="F31" s="67">
        <v>2</v>
      </c>
    </row>
    <row r="32" spans="1:6" ht="18.75">
      <c r="A32" s="97"/>
      <c r="B32" s="97"/>
      <c r="C32" s="98"/>
      <c r="D32" s="97" t="s">
        <v>751</v>
      </c>
      <c r="E32" s="98"/>
      <c r="F32" s="98"/>
    </row>
    <row r="33" spans="1:6">
      <c r="A33" t="s">
        <v>10</v>
      </c>
      <c r="B33" t="s">
        <v>99</v>
      </c>
      <c r="C33" t="s">
        <v>752</v>
      </c>
      <c r="D33" t="s">
        <v>753</v>
      </c>
      <c r="E33" s="41" t="s">
        <v>10</v>
      </c>
      <c r="F33" s="101">
        <v>0.55000000000000004</v>
      </c>
    </row>
    <row r="34" spans="1:6">
      <c r="A34" t="s">
        <v>10</v>
      </c>
      <c r="B34" t="s">
        <v>99</v>
      </c>
      <c r="C34" t="s">
        <v>754</v>
      </c>
      <c r="D34" t="s">
        <v>755</v>
      </c>
      <c r="E34" s="41" t="s">
        <v>10</v>
      </c>
      <c r="F34" s="101">
        <v>0</v>
      </c>
    </row>
    <row r="35" spans="1:6">
      <c r="A35" t="s">
        <v>10</v>
      </c>
      <c r="B35" t="s">
        <v>99</v>
      </c>
      <c r="C35" t="s">
        <v>756</v>
      </c>
      <c r="D35" t="s">
        <v>757</v>
      </c>
      <c r="E35" s="41" t="s">
        <v>10</v>
      </c>
      <c r="F35" s="101">
        <v>0.35</v>
      </c>
    </row>
    <row r="36" spans="1:6">
      <c r="A36" t="s">
        <v>10</v>
      </c>
      <c r="B36" t="s">
        <v>99</v>
      </c>
      <c r="C36" t="s">
        <v>758</v>
      </c>
      <c r="D36" t="s">
        <v>759</v>
      </c>
      <c r="E36" s="41" t="s">
        <v>10</v>
      </c>
      <c r="F36" s="101">
        <v>0.05</v>
      </c>
    </row>
    <row r="37" spans="1:6">
      <c r="A37" t="s">
        <v>10</v>
      </c>
      <c r="B37" t="s">
        <v>99</v>
      </c>
      <c r="C37" t="s">
        <v>760</v>
      </c>
      <c r="D37" t="s">
        <v>761</v>
      </c>
      <c r="E37" s="41" t="s">
        <v>10</v>
      </c>
      <c r="F37" s="101">
        <v>0.01</v>
      </c>
    </row>
    <row r="38" spans="1:6">
      <c r="A38" t="s">
        <v>10</v>
      </c>
      <c r="B38" t="s">
        <v>99</v>
      </c>
      <c r="C38" t="s">
        <v>762</v>
      </c>
      <c r="D38" t="s">
        <v>763</v>
      </c>
      <c r="E38" s="41" t="s">
        <v>10</v>
      </c>
      <c r="F38" s="101">
        <v>0.04</v>
      </c>
    </row>
    <row r="39" spans="1:6" ht="30">
      <c r="A39" t="s">
        <v>10</v>
      </c>
      <c r="B39" t="s">
        <v>99</v>
      </c>
      <c r="C39" t="s">
        <v>764</v>
      </c>
      <c r="D39" s="1" t="s">
        <v>765</v>
      </c>
      <c r="E39" s="41" t="s">
        <v>10</v>
      </c>
      <c r="F39" s="102">
        <v>1000</v>
      </c>
    </row>
    <row r="40" spans="1:6">
      <c r="A40" t="s">
        <v>10</v>
      </c>
      <c r="B40" t="s">
        <v>99</v>
      </c>
      <c r="C40" t="s">
        <v>766</v>
      </c>
      <c r="D40" t="s">
        <v>767</v>
      </c>
      <c r="E40" s="41" t="s">
        <v>10</v>
      </c>
      <c r="F40" s="101">
        <v>0.1</v>
      </c>
    </row>
    <row r="41" spans="1:6" ht="30">
      <c r="A41" t="s">
        <v>10</v>
      </c>
      <c r="B41" t="s">
        <v>99</v>
      </c>
      <c r="C41" t="s">
        <v>768</v>
      </c>
      <c r="D41" s="1" t="s">
        <v>769</v>
      </c>
      <c r="E41" s="41" t="s">
        <v>10</v>
      </c>
      <c r="F41" s="41">
        <v>1000</v>
      </c>
    </row>
    <row r="42" spans="1:6">
      <c r="A42" t="s">
        <v>10</v>
      </c>
      <c r="B42" t="s">
        <v>99</v>
      </c>
      <c r="C42" t="s">
        <v>770</v>
      </c>
      <c r="D42" t="s">
        <v>771</v>
      </c>
      <c r="E42" s="41" t="s">
        <v>10</v>
      </c>
      <c r="F42" s="103">
        <v>8760</v>
      </c>
    </row>
    <row r="43" spans="1:6" ht="18.75">
      <c r="A43" s="97"/>
      <c r="B43" s="97"/>
      <c r="C43" s="98"/>
      <c r="D43" s="97" t="s">
        <v>772</v>
      </c>
      <c r="E43" s="98"/>
      <c r="F43" s="98"/>
    </row>
    <row r="44" spans="1:6" ht="30">
      <c r="A44" s="64" t="s">
        <v>11</v>
      </c>
      <c r="B44" s="64" t="s">
        <v>325</v>
      </c>
      <c r="C44" s="64" t="s">
        <v>773</v>
      </c>
      <c r="D44" s="100" t="s">
        <v>774</v>
      </c>
      <c r="E44" s="64" t="s">
        <v>11</v>
      </c>
      <c r="F44" s="67">
        <f>F45*F46</f>
        <v>1203.109940767265</v>
      </c>
    </row>
    <row r="45" spans="1:6" ht="30">
      <c r="A45" s="64" t="s">
        <v>11</v>
      </c>
      <c r="B45" s="64" t="s">
        <v>325</v>
      </c>
      <c r="C45" s="64" t="s">
        <v>775</v>
      </c>
      <c r="D45" s="100" t="s">
        <v>776</v>
      </c>
      <c r="E45" s="64" t="s">
        <v>11</v>
      </c>
      <c r="F45" s="67">
        <f>F47/(F16*F17)</f>
        <v>1.203109940767265</v>
      </c>
    </row>
    <row r="46" spans="1:6" ht="45">
      <c r="A46" s="64" t="s">
        <v>11</v>
      </c>
      <c r="B46" s="64" t="s">
        <v>325</v>
      </c>
      <c r="C46" s="64" t="s">
        <v>777</v>
      </c>
      <c r="D46" s="100" t="s">
        <v>778</v>
      </c>
      <c r="E46" s="64" t="s">
        <v>11</v>
      </c>
      <c r="F46" s="67">
        <v>1000</v>
      </c>
    </row>
    <row r="47" spans="1:6" ht="30">
      <c r="A47" s="64" t="s">
        <v>11</v>
      </c>
      <c r="B47" s="64" t="s">
        <v>325</v>
      </c>
      <c r="C47" s="64" t="s">
        <v>779</v>
      </c>
      <c r="D47" s="100" t="s">
        <v>780</v>
      </c>
      <c r="E47" s="64" t="s">
        <v>11</v>
      </c>
      <c r="F47" s="67">
        <f>F15*F48</f>
        <v>2732380.6124999998</v>
      </c>
    </row>
    <row r="48" spans="1:6" ht="30">
      <c r="A48" s="64" t="s">
        <v>11</v>
      </c>
      <c r="B48" s="64" t="s">
        <v>325</v>
      </c>
      <c r="C48" s="64" t="s">
        <v>781</v>
      </c>
      <c r="D48" s="100" t="s">
        <v>782</v>
      </c>
      <c r="E48" s="64" t="s">
        <v>11</v>
      </c>
      <c r="F48" s="67">
        <f>F5*F33+F6*F34+F7*F35+F8*F36+F9*F37+F10*F38</f>
        <v>26.966499999999996</v>
      </c>
    </row>
    <row r="49" spans="1:6" ht="18.75">
      <c r="A49" s="97"/>
      <c r="B49" s="97"/>
      <c r="C49" s="98"/>
      <c r="D49" s="97" t="s">
        <v>783</v>
      </c>
      <c r="E49" s="98"/>
      <c r="F49" s="98"/>
    </row>
    <row r="50" spans="1:6" ht="30">
      <c r="A50" s="67" t="s">
        <v>11</v>
      </c>
      <c r="B50" s="67" t="s">
        <v>325</v>
      </c>
      <c r="C50" s="67" t="s">
        <v>784</v>
      </c>
      <c r="D50" s="104" t="s">
        <v>785</v>
      </c>
      <c r="E50" s="67" t="s">
        <v>11</v>
      </c>
      <c r="F50" s="67">
        <f>F39*F33*F21</f>
        <v>393.8</v>
      </c>
    </row>
    <row r="51" spans="1:6" ht="18.75">
      <c r="A51" s="97"/>
      <c r="B51" s="97"/>
      <c r="C51" s="98"/>
      <c r="D51" s="97" t="s">
        <v>786</v>
      </c>
      <c r="E51" s="98"/>
      <c r="F51" s="98"/>
    </row>
    <row r="52" spans="1:6">
      <c r="A52" s="64" t="s">
        <v>11</v>
      </c>
      <c r="B52" s="64" t="s">
        <v>325</v>
      </c>
      <c r="C52" s="64" t="s">
        <v>787</v>
      </c>
      <c r="D52" s="64" t="s">
        <v>788</v>
      </c>
      <c r="E52" s="64" t="s">
        <v>11</v>
      </c>
      <c r="F52" s="67">
        <f>(1-(F54/F50))*100</f>
        <v>97.620272779259992</v>
      </c>
    </row>
    <row r="53" spans="1:6" ht="18.75">
      <c r="A53" s="97"/>
      <c r="B53" s="97"/>
      <c r="C53" s="98"/>
      <c r="D53" s="97" t="s">
        <v>789</v>
      </c>
      <c r="E53" s="98"/>
      <c r="F53" s="98"/>
    </row>
    <row r="54" spans="1:6" ht="45">
      <c r="A54" s="64" t="s">
        <v>11</v>
      </c>
      <c r="B54" s="64" t="s">
        <v>325</v>
      </c>
      <c r="C54" s="64" t="s">
        <v>790</v>
      </c>
      <c r="D54" s="202" t="s">
        <v>791</v>
      </c>
      <c r="E54" s="64" t="s">
        <v>11</v>
      </c>
      <c r="F54" s="67">
        <f>F56*F41/1000000</f>
        <v>9.3713657952741762</v>
      </c>
    </row>
    <row r="55" spans="1:6" ht="18.75">
      <c r="A55" s="97"/>
      <c r="B55" s="97"/>
      <c r="C55" s="98"/>
      <c r="D55" s="97" t="s">
        <v>792</v>
      </c>
      <c r="E55" s="98"/>
      <c r="F55" s="98"/>
    </row>
    <row r="56" spans="1:6" ht="45">
      <c r="A56" s="64" t="s">
        <v>11</v>
      </c>
      <c r="B56" s="64" t="s">
        <v>325</v>
      </c>
      <c r="C56" s="64" t="s">
        <v>793</v>
      </c>
      <c r="D56" s="100" t="s">
        <v>794</v>
      </c>
      <c r="E56" s="64" t="s">
        <v>11</v>
      </c>
      <c r="F56" s="67">
        <f>F57*F44</f>
        <v>9371.365795274176</v>
      </c>
    </row>
    <row r="57" spans="1:6" ht="60">
      <c r="A57" s="64" t="s">
        <v>11</v>
      </c>
      <c r="B57" s="64" t="s">
        <v>325</v>
      </c>
      <c r="C57" s="203" t="s">
        <v>795</v>
      </c>
      <c r="D57" s="100" t="s">
        <v>796</v>
      </c>
      <c r="E57" s="64" t="s">
        <v>11</v>
      </c>
      <c r="F57" s="67">
        <f>F60+F59+F58</f>
        <v>7.7892846511580895</v>
      </c>
    </row>
    <row r="58" spans="1:6" ht="45">
      <c r="A58" s="64" t="s">
        <v>11</v>
      </c>
      <c r="B58" s="64" t="s">
        <v>325</v>
      </c>
      <c r="C58" s="64" t="s">
        <v>797</v>
      </c>
      <c r="D58" s="100" t="s">
        <v>798</v>
      </c>
      <c r="E58" s="64" t="s">
        <v>11</v>
      </c>
      <c r="F58" s="67">
        <f>F61*F20</f>
        <v>0.77892846511580904</v>
      </c>
    </row>
    <row r="59" spans="1:6" ht="60">
      <c r="A59" s="64" t="s">
        <v>11</v>
      </c>
      <c r="B59" s="64" t="s">
        <v>325</v>
      </c>
      <c r="C59" s="64" t="s">
        <v>799</v>
      </c>
      <c r="D59" s="100" t="s">
        <v>800</v>
      </c>
      <c r="E59" s="64" t="s">
        <v>11</v>
      </c>
      <c r="F59" s="67">
        <f>F20*((F67/(2*F14)+((1-F18)/F18)*(F62+F61)))</f>
        <v>6.2622947023495508</v>
      </c>
    </row>
    <row r="60" spans="1:6" ht="60">
      <c r="A60" s="64" t="s">
        <v>11</v>
      </c>
      <c r="B60" s="64" t="s">
        <v>325</v>
      </c>
      <c r="C60" s="64" t="s">
        <v>801</v>
      </c>
      <c r="D60" s="100" t="s">
        <v>802</v>
      </c>
      <c r="E60" s="64" t="s">
        <v>11</v>
      </c>
      <c r="F60" s="67">
        <f>(F64/F11)*F20</f>
        <v>0.74806148369272996</v>
      </c>
    </row>
    <row r="61" spans="1:6" ht="45">
      <c r="A61" s="64" t="s">
        <v>11</v>
      </c>
      <c r="B61" s="64" t="s">
        <v>325</v>
      </c>
      <c r="C61" s="64" t="s">
        <v>803</v>
      </c>
      <c r="D61" s="100" t="s">
        <v>804</v>
      </c>
      <c r="E61" s="64" t="s">
        <v>11</v>
      </c>
      <c r="F61" s="67">
        <f>(F40/(1-(F40/F18))*(F64/F11+F67/(2*F14)+((1-F18)/F18)*F62))</f>
        <v>3.4751872272499734E-2</v>
      </c>
    </row>
    <row r="62" spans="1:6" ht="45">
      <c r="A62" s="64" t="s">
        <v>11</v>
      </c>
      <c r="B62" s="64" t="s">
        <v>325</v>
      </c>
      <c r="C62" s="64" t="s">
        <v>805</v>
      </c>
      <c r="D62" s="100" t="s">
        <v>806</v>
      </c>
      <c r="E62" s="64" t="s">
        <v>11</v>
      </c>
      <c r="F62" s="67">
        <f>((F64/F11)+(F65/(4*F12)-(F66)/(2*F13)))</f>
        <v>3.9122615096508641E-2</v>
      </c>
    </row>
    <row r="63" spans="1:6" ht="18.75">
      <c r="A63" s="97"/>
      <c r="B63" s="97"/>
      <c r="C63" s="30"/>
      <c r="D63" s="97" t="s">
        <v>807</v>
      </c>
      <c r="E63" s="98"/>
      <c r="F63" s="98"/>
    </row>
    <row r="64" spans="1:6" ht="30">
      <c r="A64" s="64" t="s">
        <v>11</v>
      </c>
      <c r="B64" s="64" t="s">
        <v>325</v>
      </c>
      <c r="C64" s="203" t="s">
        <v>808</v>
      </c>
      <c r="D64" s="100" t="s">
        <v>809</v>
      </c>
      <c r="E64" s="64" t="s">
        <v>11</v>
      </c>
      <c r="F64" s="67">
        <f>((F33*F23+F34*F24+F35*F25)*F11)/F48</f>
        <v>0.40049691283629696</v>
      </c>
    </row>
    <row r="65" spans="1:6" ht="30">
      <c r="A65" s="64" t="s">
        <v>11</v>
      </c>
      <c r="B65" s="64" t="s">
        <v>325</v>
      </c>
      <c r="C65" s="64" t="s">
        <v>810</v>
      </c>
      <c r="D65" s="100" t="s">
        <v>811</v>
      </c>
      <c r="E65" s="64" t="s">
        <v>11</v>
      </c>
      <c r="F65" s="67">
        <f>(F33*F26+F37*F27)*F12/F48</f>
        <v>8.314760907051344E-2</v>
      </c>
    </row>
    <row r="66" spans="1:6" ht="30">
      <c r="A66" s="64" t="s">
        <v>11</v>
      </c>
      <c r="B66" s="64" t="s">
        <v>325</v>
      </c>
      <c r="C66" s="64" t="s">
        <v>812</v>
      </c>
      <c r="D66" s="100" t="s">
        <v>813</v>
      </c>
      <c r="E66" s="64" t="s">
        <v>11</v>
      </c>
      <c r="F66" s="67">
        <f>(F34*F28+F35*F29+F36*F30)*F13/F48</f>
        <v>0.47466300780598153</v>
      </c>
    </row>
    <row r="67" spans="1:6" ht="30">
      <c r="A67" s="64" t="s">
        <v>11</v>
      </c>
      <c r="B67" s="64" t="s">
        <v>325</v>
      </c>
      <c r="C67" s="64" t="s">
        <v>814</v>
      </c>
      <c r="D67" s="100" t="s">
        <v>815</v>
      </c>
      <c r="E67" s="64" t="s">
        <v>11</v>
      </c>
      <c r="F67" s="67">
        <f>F38*F31*F14/F48</f>
        <v>4.1562679621011261E-2</v>
      </c>
    </row>
    <row r="68" spans="1:6" ht="18.75">
      <c r="A68" s="97"/>
      <c r="B68" s="97"/>
      <c r="C68" s="30"/>
      <c r="D68" s="97" t="s">
        <v>816</v>
      </c>
      <c r="E68" s="98"/>
      <c r="F68" s="98"/>
    </row>
    <row r="69" spans="1:6" ht="30">
      <c r="A69" s="64" t="s">
        <v>11</v>
      </c>
      <c r="B69" s="64" t="s">
        <v>325</v>
      </c>
      <c r="C69" s="64" t="s">
        <v>817</v>
      </c>
      <c r="D69" s="100" t="s">
        <v>818</v>
      </c>
      <c r="E69" s="64" t="s">
        <v>11</v>
      </c>
      <c r="F69" s="67">
        <f>(F42*(1-F52/100)*F50)*F19/100</f>
        <v>20523.291091650441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EA39B-3DD0-43B3-8F87-95187B04DDE4}">
  <dimension ref="A1:H26"/>
  <sheetViews>
    <sheetView workbookViewId="0">
      <selection activeCell="E33" sqref="E33"/>
    </sheetView>
  </sheetViews>
  <sheetFormatPr defaultColWidth="8.85546875" defaultRowHeight="15"/>
  <cols>
    <col min="1" max="2" width="12.7109375" customWidth="1"/>
    <col min="3" max="3" width="10.42578125" customWidth="1"/>
    <col min="4" max="4" width="12.42578125" customWidth="1"/>
    <col min="5" max="5" width="21.42578125" customWidth="1"/>
    <col min="6" max="6" width="61.140625" customWidth="1"/>
    <col min="7" max="7" width="47.85546875" customWidth="1"/>
    <col min="8" max="8" width="60.42578125" customWidth="1"/>
  </cols>
  <sheetData>
    <row r="1" spans="1:8" ht="75">
      <c r="A1" s="61" t="s">
        <v>0</v>
      </c>
      <c r="B1" s="61" t="s">
        <v>1</v>
      </c>
      <c r="C1" s="62" t="s">
        <v>323</v>
      </c>
      <c r="D1" s="61" t="s">
        <v>4</v>
      </c>
      <c r="E1" s="61" t="s">
        <v>5</v>
      </c>
      <c r="F1" s="63" t="s">
        <v>6</v>
      </c>
      <c r="G1" s="63" t="s">
        <v>7</v>
      </c>
      <c r="H1" s="62" t="s">
        <v>8</v>
      </c>
    </row>
    <row r="2" spans="1:8" ht="21">
      <c r="A2" s="243" t="s">
        <v>819</v>
      </c>
      <c r="B2" s="243"/>
      <c r="C2" s="243"/>
      <c r="D2" s="243"/>
      <c r="E2" s="243"/>
      <c r="F2" s="243"/>
      <c r="G2" s="243"/>
      <c r="H2" s="243"/>
    </row>
    <row r="3" spans="1:8" ht="78.75">
      <c r="A3" s="79" t="s">
        <v>10</v>
      </c>
      <c r="B3" s="79"/>
      <c r="C3" s="79" t="s">
        <v>820</v>
      </c>
      <c r="D3" s="79" t="s">
        <v>821</v>
      </c>
      <c r="E3" s="144" t="s">
        <v>6</v>
      </c>
      <c r="F3" s="79" t="s">
        <v>822</v>
      </c>
      <c r="G3" s="80" t="s">
        <v>823</v>
      </c>
      <c r="H3" s="79" t="s">
        <v>824</v>
      </c>
    </row>
    <row r="4" spans="1:8" ht="21">
      <c r="A4" s="243" t="s">
        <v>825</v>
      </c>
      <c r="B4" s="243"/>
      <c r="C4" s="243"/>
      <c r="D4" s="243"/>
      <c r="E4" s="243"/>
      <c r="F4" s="243"/>
      <c r="G4" s="243"/>
      <c r="H4" s="243"/>
    </row>
    <row r="5" spans="1:8" ht="47.25">
      <c r="A5" s="79" t="s">
        <v>10</v>
      </c>
      <c r="B5" s="79"/>
      <c r="C5" s="79" t="s">
        <v>820</v>
      </c>
      <c r="D5" s="79" t="s">
        <v>821</v>
      </c>
      <c r="E5" s="81" t="s">
        <v>6</v>
      </c>
      <c r="F5" s="204" t="s">
        <v>826</v>
      </c>
      <c r="G5" s="205" t="s">
        <v>827</v>
      </c>
      <c r="H5" s="79" t="s">
        <v>828</v>
      </c>
    </row>
    <row r="6" spans="1:8" ht="105">
      <c r="A6" s="206" t="s">
        <v>10</v>
      </c>
      <c r="B6" s="207"/>
      <c r="C6" s="206" t="s">
        <v>820</v>
      </c>
      <c r="D6" s="206" t="s">
        <v>829</v>
      </c>
      <c r="E6" s="82" t="s">
        <v>830</v>
      </c>
      <c r="F6" s="83" t="s">
        <v>831</v>
      </c>
      <c r="G6" s="84" t="s">
        <v>820</v>
      </c>
      <c r="H6" s="83" t="s">
        <v>832</v>
      </c>
    </row>
    <row r="7" spans="1:8" ht="18.75">
      <c r="A7" s="208" t="s">
        <v>10</v>
      </c>
      <c r="B7" s="2"/>
      <c r="C7" s="208" t="s">
        <v>820</v>
      </c>
      <c r="D7" s="208" t="s">
        <v>833</v>
      </c>
      <c r="E7" s="85"/>
      <c r="F7" s="86" t="s">
        <v>834</v>
      </c>
      <c r="G7" s="49" t="s">
        <v>835</v>
      </c>
      <c r="H7" s="86" t="s">
        <v>836</v>
      </c>
    </row>
    <row r="8" spans="1:8" ht="180">
      <c r="A8" s="206" t="s">
        <v>10</v>
      </c>
      <c r="B8" s="207"/>
      <c r="C8" s="206" t="s">
        <v>820</v>
      </c>
      <c r="D8" s="206" t="s">
        <v>829</v>
      </c>
      <c r="E8" s="82" t="s">
        <v>837</v>
      </c>
      <c r="F8" s="83" t="s">
        <v>838</v>
      </c>
      <c r="G8" s="84" t="s">
        <v>820</v>
      </c>
      <c r="H8" s="83" t="s">
        <v>832</v>
      </c>
    </row>
    <row r="9" spans="1:8" ht="18.75">
      <c r="A9" s="208" t="s">
        <v>10</v>
      </c>
      <c r="B9" s="2"/>
      <c r="C9" s="208" t="s">
        <v>820</v>
      </c>
      <c r="D9" s="208" t="s">
        <v>833</v>
      </c>
      <c r="E9" s="85"/>
      <c r="F9" s="86" t="s">
        <v>834</v>
      </c>
      <c r="G9" s="49" t="s">
        <v>835</v>
      </c>
      <c r="H9" s="86" t="s">
        <v>836</v>
      </c>
    </row>
    <row r="10" spans="1:8" ht="21">
      <c r="A10" s="243" t="s">
        <v>839</v>
      </c>
      <c r="B10" s="243"/>
      <c r="C10" s="243"/>
      <c r="D10" s="243"/>
      <c r="E10" s="243"/>
      <c r="F10" s="243"/>
      <c r="G10" s="243"/>
      <c r="H10" s="243"/>
    </row>
    <row r="11" spans="1:8" ht="94.5">
      <c r="A11" s="79" t="s">
        <v>10</v>
      </c>
      <c r="B11" s="79"/>
      <c r="C11" s="79" t="s">
        <v>820</v>
      </c>
      <c r="D11" s="79" t="s">
        <v>821</v>
      </c>
      <c r="E11" s="81" t="s">
        <v>6</v>
      </c>
      <c r="F11" s="204" t="s">
        <v>840</v>
      </c>
      <c r="G11" s="205" t="s">
        <v>841</v>
      </c>
      <c r="H11" s="79" t="s">
        <v>842</v>
      </c>
    </row>
    <row r="12" spans="1:8" ht="47.25">
      <c r="A12" s="206" t="s">
        <v>10</v>
      </c>
      <c r="B12" s="207"/>
      <c r="C12" s="206" t="s">
        <v>820</v>
      </c>
      <c r="D12" s="206" t="s">
        <v>829</v>
      </c>
      <c r="E12" s="209" t="s">
        <v>843</v>
      </c>
      <c r="F12" s="83" t="s">
        <v>844</v>
      </c>
      <c r="G12" s="87" t="s">
        <v>845</v>
      </c>
      <c r="H12" s="83" t="s">
        <v>846</v>
      </c>
    </row>
    <row r="13" spans="1:8" ht="105">
      <c r="A13" s="206" t="s">
        <v>10</v>
      </c>
      <c r="B13" s="207"/>
      <c r="C13" s="206" t="s">
        <v>820</v>
      </c>
      <c r="D13" s="206" t="s">
        <v>829</v>
      </c>
      <c r="E13" s="209" t="s">
        <v>847</v>
      </c>
      <c r="F13" s="83" t="s">
        <v>848</v>
      </c>
      <c r="G13" s="84" t="s">
        <v>820</v>
      </c>
      <c r="H13" s="83" t="s">
        <v>832</v>
      </c>
    </row>
    <row r="14" spans="1:8" ht="18.75">
      <c r="A14" s="208" t="s">
        <v>10</v>
      </c>
      <c r="B14" s="2"/>
      <c r="C14" s="208" t="s">
        <v>820</v>
      </c>
      <c r="D14" s="208" t="s">
        <v>833</v>
      </c>
      <c r="E14" s="85"/>
      <c r="F14" s="86" t="s">
        <v>834</v>
      </c>
      <c r="G14" s="49" t="s">
        <v>835</v>
      </c>
      <c r="H14" s="86" t="s">
        <v>836</v>
      </c>
    </row>
    <row r="15" spans="1:8" ht="47.25">
      <c r="A15" s="206" t="s">
        <v>10</v>
      </c>
      <c r="B15" s="207"/>
      <c r="C15" s="206" t="s">
        <v>820</v>
      </c>
      <c r="D15" s="206" t="s">
        <v>829</v>
      </c>
      <c r="E15" s="209" t="s">
        <v>849</v>
      </c>
      <c r="F15" s="83" t="s">
        <v>844</v>
      </c>
      <c r="G15" s="87" t="s">
        <v>850</v>
      </c>
      <c r="H15" s="83" t="s">
        <v>846</v>
      </c>
    </row>
    <row r="16" spans="1:8" ht="120">
      <c r="A16" s="206" t="s">
        <v>10</v>
      </c>
      <c r="B16" s="207"/>
      <c r="C16" s="206" t="s">
        <v>820</v>
      </c>
      <c r="D16" s="206" t="s">
        <v>829</v>
      </c>
      <c r="E16" s="209" t="s">
        <v>851</v>
      </c>
      <c r="F16" s="83" t="s">
        <v>852</v>
      </c>
      <c r="G16" s="84" t="s">
        <v>820</v>
      </c>
      <c r="H16" s="83" t="s">
        <v>832</v>
      </c>
    </row>
    <row r="17" spans="1:8" ht="18.75">
      <c r="A17" s="208" t="s">
        <v>10</v>
      </c>
      <c r="B17" s="2"/>
      <c r="C17" s="208" t="s">
        <v>820</v>
      </c>
      <c r="D17" s="208" t="s">
        <v>833</v>
      </c>
      <c r="E17" s="85"/>
      <c r="F17" s="86" t="s">
        <v>834</v>
      </c>
      <c r="G17" s="49" t="s">
        <v>835</v>
      </c>
      <c r="H17" s="86" t="s">
        <v>836</v>
      </c>
    </row>
    <row r="18" spans="1:8" ht="150">
      <c r="A18" s="206" t="s">
        <v>10</v>
      </c>
      <c r="B18" s="207"/>
      <c r="C18" s="206" t="s">
        <v>820</v>
      </c>
      <c r="D18" s="206" t="s">
        <v>829</v>
      </c>
      <c r="E18" s="209" t="s">
        <v>853</v>
      </c>
      <c r="F18" s="83" t="s">
        <v>854</v>
      </c>
      <c r="G18" s="84" t="s">
        <v>820</v>
      </c>
      <c r="H18" s="83" t="s">
        <v>832</v>
      </c>
    </row>
    <row r="19" spans="1:8" ht="30">
      <c r="A19" s="208" t="s">
        <v>10</v>
      </c>
      <c r="B19" s="2"/>
      <c r="C19" s="208" t="s">
        <v>820</v>
      </c>
      <c r="D19" s="208" t="s">
        <v>833</v>
      </c>
      <c r="E19" s="85"/>
      <c r="F19" s="86" t="s">
        <v>834</v>
      </c>
      <c r="G19" s="86" t="s">
        <v>855</v>
      </c>
      <c r="H19" s="86" t="s">
        <v>836</v>
      </c>
    </row>
    <row r="20" spans="1:8" ht="135">
      <c r="A20" s="206" t="s">
        <v>10</v>
      </c>
      <c r="B20" s="207"/>
      <c r="C20" s="206" t="s">
        <v>820</v>
      </c>
      <c r="D20" s="206" t="s">
        <v>829</v>
      </c>
      <c r="E20" s="209" t="s">
        <v>856</v>
      </c>
      <c r="F20" s="83" t="s">
        <v>857</v>
      </c>
      <c r="G20" s="84" t="s">
        <v>820</v>
      </c>
      <c r="H20" s="83" t="s">
        <v>832</v>
      </c>
    </row>
    <row r="21" spans="1:8" ht="18.75">
      <c r="A21" s="208" t="s">
        <v>10</v>
      </c>
      <c r="B21" s="2"/>
      <c r="C21" s="208" t="s">
        <v>820</v>
      </c>
      <c r="D21" s="208" t="s">
        <v>833</v>
      </c>
      <c r="E21" s="85"/>
      <c r="F21" s="86" t="s">
        <v>834</v>
      </c>
      <c r="G21" s="49" t="s">
        <v>835</v>
      </c>
      <c r="H21" s="86" t="s">
        <v>836</v>
      </c>
    </row>
    <row r="22" spans="1:8" ht="150">
      <c r="A22" s="206" t="s">
        <v>10</v>
      </c>
      <c r="B22" s="207"/>
      <c r="C22" s="206" t="s">
        <v>820</v>
      </c>
      <c r="D22" s="206" t="s">
        <v>829</v>
      </c>
      <c r="E22" s="209" t="s">
        <v>858</v>
      </c>
      <c r="F22" s="83" t="s">
        <v>859</v>
      </c>
      <c r="G22" s="84" t="s">
        <v>820</v>
      </c>
      <c r="H22" s="83" t="s">
        <v>832</v>
      </c>
    </row>
    <row r="23" spans="1:8" ht="18.75">
      <c r="A23" s="208" t="s">
        <v>10</v>
      </c>
      <c r="B23" s="2"/>
      <c r="C23" s="208" t="s">
        <v>820</v>
      </c>
      <c r="D23" s="208" t="s">
        <v>833</v>
      </c>
      <c r="E23" s="85"/>
      <c r="F23" s="86" t="s">
        <v>834</v>
      </c>
      <c r="G23" s="49" t="s">
        <v>835</v>
      </c>
      <c r="H23" s="86" t="s">
        <v>836</v>
      </c>
    </row>
    <row r="24" spans="1:8" ht="21">
      <c r="A24" s="243" t="s">
        <v>860</v>
      </c>
      <c r="B24" s="243"/>
      <c r="C24" s="243"/>
      <c r="D24" s="243"/>
      <c r="E24" s="243"/>
      <c r="F24" s="243"/>
      <c r="G24" s="243"/>
      <c r="H24" s="243"/>
    </row>
    <row r="25" spans="1:8" ht="63">
      <c r="A25" s="79" t="s">
        <v>10</v>
      </c>
      <c r="B25" s="79"/>
      <c r="C25" s="79" t="s">
        <v>820</v>
      </c>
      <c r="D25" s="79" t="s">
        <v>821</v>
      </c>
      <c r="E25" s="81" t="s">
        <v>6</v>
      </c>
      <c r="F25" s="204" t="s">
        <v>861</v>
      </c>
      <c r="G25" s="205" t="s">
        <v>862</v>
      </c>
      <c r="H25" s="79" t="s">
        <v>863</v>
      </c>
    </row>
    <row r="26" spans="1:8" ht="18.75">
      <c r="A26" s="208" t="s">
        <v>10</v>
      </c>
      <c r="B26" s="2"/>
      <c r="C26" s="208" t="s">
        <v>820</v>
      </c>
      <c r="D26" s="208" t="s">
        <v>833</v>
      </c>
      <c r="E26" s="85"/>
      <c r="F26" s="86" t="s">
        <v>834</v>
      </c>
      <c r="G26" s="49" t="s">
        <v>835</v>
      </c>
      <c r="H26" s="86" t="s">
        <v>836</v>
      </c>
    </row>
  </sheetData>
  <mergeCells count="4">
    <mergeCell ref="A2:H2"/>
    <mergeCell ref="A4:H4"/>
    <mergeCell ref="A10:H10"/>
    <mergeCell ref="A24:H24"/>
  </mergeCells>
  <dataValidations count="8">
    <dataValidation type="list" allowBlank="1" showInputMessage="1" showErrorMessage="1" sqref="G25" xr:uid="{F72CA00E-1915-4379-9129-02392E92C2FB}">
      <formula1>"Biogas digesters for cooking,Micro-irrigation,Energy efficient pump-set for agriculture"</formula1>
    </dataValidation>
    <dataValidation allowBlank="1" showInputMessage="1" showErrorMessage="1" sqref="G14 G17 G7 G9 G19 G21 G23 G26" xr:uid="{625FB87C-329F-4181-BDE2-E1BB12CD3D5D}"/>
    <dataValidation type="list" allowBlank="1" showInputMessage="1" showErrorMessage="1" sqref="G15" xr:uid="{6B873E42-47D1-4EE6-9F70-F519141BD484}">
      <formula1>"Solar photovoltaic technologies,Solar thermal electricity generation includign concentrating solar power,Off-shore wind technologies,Marine wave technologies,Marine tidal technologies,Ocean thermal technologies."</formula1>
    </dataValidation>
    <dataValidation type="list" allowBlank="1" showInputMessage="1" showErrorMessage="1" sqref="G12" xr:uid="{67207AD6-312D-43CC-B3ED-344DFFDC4CC7}">
      <formula1>"Solar thermal electricity generation includign concentrating solar power,Off-shore wind technologies,Marine wave technologies,Marine tidal technologies,Ocean thermal technologies."</formula1>
    </dataValidation>
    <dataValidation type="list" allowBlank="1" showInputMessage="1" showErrorMessage="1" sqref="G6 G8 G13 G16 G18 G20 G22" xr:uid="{FBE6EE94-8BDE-4B2F-A221-F38219BAB0DB}">
      <formula1>"yes,no"</formula1>
    </dataValidation>
    <dataValidation type="list" allowBlank="1" showInputMessage="1" showErrorMessage="1" sqref="G11" xr:uid="{AC4D9869-1151-40C6-ABEF-C4DC085D4F94}">
      <formula1>"Tech for large-scale grid-connected power generation,Tech for large-scale isolated grid power generation,Tech for small-scale grid-connected power generation,Tech for small-scale off-grid power generation,Rural electrification projects"</formula1>
    </dataValidation>
    <dataValidation type="list" allowBlank="1" showInputMessage="1" showErrorMessage="1" sqref="G5" xr:uid="{63061FC8-2379-4380-8864-8AF515EB1344}">
      <formula1>"Landfill gas recovery and its gainful use,Methane recovery in wastewater treatment"</formula1>
    </dataValidation>
    <dataValidation type="list" allowBlank="1" showInputMessage="1" showErrorMessage="1" sqref="G3" xr:uid="{55F5C3B3-111A-454B-87BB-5B9B9B091564}">
      <formula1>"Waste handling and disposal,Renewable energy,Household/Communities/SMEs"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Main schema</vt:lpstr>
      <vt:lpstr>Tool 03</vt:lpstr>
      <vt:lpstr>Tool 04-SWDS-Yearly</vt:lpstr>
      <vt:lpstr>Dropdown Items</vt:lpstr>
      <vt:lpstr>Tool 05.1</vt:lpstr>
      <vt:lpstr>Tool 05.2 Power Plants</vt:lpstr>
      <vt:lpstr>Tool 05.3 Default Values</vt:lpstr>
      <vt:lpstr>Tool 06</vt:lpstr>
      <vt:lpstr>Tool 32</vt:lpstr>
      <vt:lpstr>Defaults</vt:lpstr>
      <vt:lpstr>IWA Properties</vt:lpstr>
      <vt:lpstr>MCF</vt:lpstr>
      <vt:lpstr>Monitoring Params</vt:lpstr>
      <vt:lpstr>Appendix - Distribution Biogas</vt:lpstr>
      <vt:lpstr>Appendix - MCF Equipments</vt:lpstr>
      <vt:lpstr>Appendix - All Equations</vt:lpstr>
      <vt:lpstr>All Equations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Jailine Molina</cp:lastModifiedBy>
  <cp:revision/>
  <dcterms:created xsi:type="dcterms:W3CDTF">2023-08-25T16:43:05Z</dcterms:created>
  <dcterms:modified xsi:type="dcterms:W3CDTF">2023-10-31T18:17:08Z</dcterms:modified>
  <cp:category/>
  <cp:contentStatus/>
</cp:coreProperties>
</file>