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drawings/drawing3.xml" ContentType="application/vnd.openxmlformats-officedocument.drawing+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drawings/drawing4.xml" ContentType="application/vnd.openxmlformats-officedocument.drawing+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drawings/drawing5.xml" ContentType="application/vnd.openxmlformats-officedocument.drawing+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Staff folders\Anna\"/>
    </mc:Choice>
  </mc:AlternateContent>
  <bookViews>
    <workbookView xWindow="2775" yWindow="135" windowWidth="12390" windowHeight="13365" tabRatio="721" activeTab="4"/>
  </bookViews>
  <sheets>
    <sheet name="READ ME" sheetId="8" r:id="rId1"/>
    <sheet name="Scenarios" sheetId="2" r:id="rId2"/>
    <sheet name="Compliance Calculator 1" sheetId="1" r:id="rId3"/>
    <sheet name="Compliance Calculator 2" sheetId="3" r:id="rId4"/>
    <sheet name="Compliance Calculator 3" sheetId="4" r:id="rId5"/>
    <sheet name="Sales-Mkt Shares Reference" sheetId="5" r:id="rId6"/>
    <sheet name="Acronyms-Definitions" sheetId="6" r:id="rId7"/>
    <sheet name="Frequently Asked Questions" sheetId="7" r:id="rId8"/>
  </sheets>
  <definedNames>
    <definedName name="_xlnm._FilterDatabase" localSheetId="2" hidden="1">'Compliance Calculator 1'!$K$63:$K$66</definedName>
    <definedName name="https___ww3.arb.ca.gov_msprog_acc_mtr_appendix_a.pdf?_ga_2.135809265.1503454480.1576520488_895192167.1537387928" comment="Click Here">'READ ME'!$B$9</definedName>
    <definedName name="_xlnm.Print_Area" localSheetId="1">Scenarios!$A$47:$O$73</definedName>
  </definedNames>
  <calcPr calcId="162913"/>
</workbook>
</file>

<file path=xl/calcChain.xml><?xml version="1.0" encoding="utf-8"?>
<calcChain xmlns="http://schemas.openxmlformats.org/spreadsheetml/2006/main">
  <c r="I162" i="4" l="1"/>
  <c r="H162" i="4"/>
  <c r="G162" i="4"/>
  <c r="F162" i="4"/>
  <c r="E162" i="4"/>
  <c r="D162" i="4"/>
  <c r="C162" i="4"/>
  <c r="B162" i="4"/>
  <c r="I143" i="4"/>
  <c r="H143" i="4"/>
  <c r="G143" i="4"/>
  <c r="F143" i="4"/>
  <c r="E143" i="4"/>
  <c r="D143" i="4"/>
  <c r="C143" i="4"/>
  <c r="B143" i="4"/>
  <c r="I140" i="4"/>
  <c r="I141" i="4" s="1"/>
  <c r="H140" i="4"/>
  <c r="H141" i="4" s="1"/>
  <c r="G140" i="4"/>
  <c r="G141" i="4" s="1"/>
  <c r="F140" i="4"/>
  <c r="F141" i="4" s="1"/>
  <c r="E140" i="4"/>
  <c r="E141" i="4" s="1"/>
  <c r="D140" i="4"/>
  <c r="D141" i="4" s="1"/>
  <c r="C140" i="4"/>
  <c r="C141" i="4" s="1"/>
  <c r="B140" i="4"/>
  <c r="B141" i="4" s="1"/>
  <c r="I137" i="4"/>
  <c r="H137" i="4"/>
  <c r="G137" i="4"/>
  <c r="F137" i="4"/>
  <c r="E137" i="4"/>
  <c r="D137" i="4"/>
  <c r="C137" i="4"/>
  <c r="B137" i="4"/>
  <c r="I134" i="4"/>
  <c r="I135" i="4" s="1"/>
  <c r="H134" i="4"/>
  <c r="H135" i="4" s="1"/>
  <c r="G134" i="4"/>
  <c r="G135" i="4" s="1"/>
  <c r="F134" i="4"/>
  <c r="F135" i="4" s="1"/>
  <c r="E134" i="4"/>
  <c r="E135" i="4" s="1"/>
  <c r="D134" i="4"/>
  <c r="D135" i="4" s="1"/>
  <c r="C134" i="4"/>
  <c r="C135" i="4" s="1"/>
  <c r="B134" i="4"/>
  <c r="B135" i="4" s="1"/>
  <c r="F133" i="4"/>
  <c r="B133" i="4"/>
  <c r="I132" i="4"/>
  <c r="I133" i="4" s="1"/>
  <c r="H132" i="4"/>
  <c r="H133" i="4" s="1"/>
  <c r="G132" i="4"/>
  <c r="G133" i="4" s="1"/>
  <c r="E132" i="4"/>
  <c r="E133" i="4" s="1"/>
  <c r="D132" i="4"/>
  <c r="D133" i="4" s="1"/>
  <c r="C132" i="4"/>
  <c r="C133" i="4" s="1"/>
  <c r="I130" i="4"/>
  <c r="I131" i="4" s="1"/>
  <c r="H130" i="4"/>
  <c r="H131" i="4" s="1"/>
  <c r="G130" i="4"/>
  <c r="G131" i="4" s="1"/>
  <c r="F130" i="4"/>
  <c r="F131" i="4" s="1"/>
  <c r="E130" i="4"/>
  <c r="E131" i="4" s="1"/>
  <c r="D130" i="4"/>
  <c r="D131" i="4" s="1"/>
  <c r="C130" i="4"/>
  <c r="C131" i="4" s="1"/>
  <c r="B130" i="4"/>
  <c r="B131" i="4" s="1"/>
  <c r="F127" i="4"/>
  <c r="F129" i="4" s="1"/>
  <c r="D127" i="4"/>
  <c r="D129" i="4" s="1"/>
  <c r="B127" i="4"/>
  <c r="B129" i="4" s="1"/>
  <c r="I125" i="4"/>
  <c r="I127" i="4" s="1"/>
  <c r="I129" i="4" s="1"/>
  <c r="H125" i="4"/>
  <c r="H127" i="4" s="1"/>
  <c r="H129" i="4" s="1"/>
  <c r="G125" i="4"/>
  <c r="G127" i="4" s="1"/>
  <c r="G129" i="4" s="1"/>
  <c r="E125" i="4"/>
  <c r="E127" i="4" s="1"/>
  <c r="E129" i="4" s="1"/>
  <c r="D125" i="4"/>
  <c r="C125" i="4"/>
  <c r="C127" i="4" s="1"/>
  <c r="C129" i="4" s="1"/>
  <c r="I124" i="4"/>
  <c r="I126" i="4" s="1"/>
  <c r="I128" i="4" s="1"/>
  <c r="H124" i="4"/>
  <c r="H126" i="4" s="1"/>
  <c r="H128" i="4" s="1"/>
  <c r="G124" i="4"/>
  <c r="G126" i="4" s="1"/>
  <c r="G128" i="4" s="1"/>
  <c r="F124" i="4"/>
  <c r="F126" i="4" s="1"/>
  <c r="F128" i="4" s="1"/>
  <c r="E124" i="4"/>
  <c r="E126" i="4" s="1"/>
  <c r="E128" i="4" s="1"/>
  <c r="D124" i="4"/>
  <c r="D126" i="4" s="1"/>
  <c r="D128" i="4" s="1"/>
  <c r="C124" i="4"/>
  <c r="C126" i="4" s="1"/>
  <c r="C128" i="4" s="1"/>
  <c r="B124" i="4"/>
  <c r="B126" i="4" s="1"/>
  <c r="B128" i="4" s="1"/>
  <c r="F123" i="4"/>
  <c r="B123" i="4"/>
  <c r="I122" i="4"/>
  <c r="I123" i="4" s="1"/>
  <c r="H122" i="4"/>
  <c r="H123" i="4" s="1"/>
  <c r="G122" i="4"/>
  <c r="G123" i="4" s="1"/>
  <c r="E122" i="4"/>
  <c r="E123" i="4" s="1"/>
  <c r="D122" i="4"/>
  <c r="D123" i="4" s="1"/>
  <c r="C122" i="4"/>
  <c r="C123" i="4" s="1"/>
  <c r="I120" i="4"/>
  <c r="I121" i="4" s="1"/>
  <c r="H120" i="4"/>
  <c r="H121" i="4" s="1"/>
  <c r="G120" i="4"/>
  <c r="G121" i="4" s="1"/>
  <c r="F120" i="4"/>
  <c r="F121" i="4" s="1"/>
  <c r="E120" i="4"/>
  <c r="E121" i="4" s="1"/>
  <c r="D120" i="4"/>
  <c r="D121" i="4" s="1"/>
  <c r="C120" i="4"/>
  <c r="C121" i="4" s="1"/>
  <c r="B120" i="4"/>
  <c r="B121" i="4" s="1"/>
  <c r="F119" i="4"/>
  <c r="D119" i="4"/>
  <c r="B119" i="4"/>
  <c r="I118" i="4"/>
  <c r="I119" i="4" s="1"/>
  <c r="H118" i="4"/>
  <c r="H119" i="4" s="1"/>
  <c r="G118" i="4"/>
  <c r="G119" i="4" s="1"/>
  <c r="E118" i="4"/>
  <c r="E119" i="4" s="1"/>
  <c r="D118" i="4"/>
  <c r="C118" i="4"/>
  <c r="C119" i="4" s="1"/>
  <c r="B108" i="4"/>
  <c r="I108" i="4" s="1"/>
  <c r="I107" i="4"/>
  <c r="H107" i="4"/>
  <c r="G107" i="4"/>
  <c r="F107" i="4"/>
  <c r="E107" i="4"/>
  <c r="D107" i="4"/>
  <c r="C107" i="4"/>
  <c r="I106" i="4"/>
  <c r="B106" i="4"/>
  <c r="H106" i="4" s="1"/>
  <c r="I105" i="4"/>
  <c r="H105" i="4"/>
  <c r="G105" i="4"/>
  <c r="F105" i="4"/>
  <c r="E105" i="4"/>
  <c r="D105" i="4"/>
  <c r="C105" i="4"/>
  <c r="H91" i="4"/>
  <c r="B91" i="4"/>
  <c r="G91" i="4" s="1"/>
  <c r="I90" i="4"/>
  <c r="H90" i="4"/>
  <c r="G90" i="4"/>
  <c r="F90" i="4"/>
  <c r="E90" i="4"/>
  <c r="D90" i="4"/>
  <c r="C90" i="4"/>
  <c r="B89" i="4"/>
  <c r="F89" i="4" s="1"/>
  <c r="I88" i="4"/>
  <c r="H88" i="4"/>
  <c r="G88" i="4"/>
  <c r="F88" i="4"/>
  <c r="E88" i="4"/>
  <c r="D88" i="4"/>
  <c r="C88" i="4"/>
  <c r="E74" i="4"/>
  <c r="E64" i="4"/>
  <c r="I61" i="4"/>
  <c r="H61" i="4"/>
  <c r="G61" i="4"/>
  <c r="F61" i="4"/>
  <c r="E61" i="4"/>
  <c r="D61" i="4"/>
  <c r="C61" i="4"/>
  <c r="B61" i="4"/>
  <c r="I59" i="4"/>
  <c r="H59" i="4"/>
  <c r="G59" i="4"/>
  <c r="F59" i="4"/>
  <c r="E59" i="4"/>
  <c r="D59" i="4"/>
  <c r="C59" i="4"/>
  <c r="B59" i="4"/>
  <c r="I52" i="4"/>
  <c r="H52" i="4"/>
  <c r="G52" i="4"/>
  <c r="F52" i="4"/>
  <c r="E52" i="4"/>
  <c r="D52" i="4"/>
  <c r="C52" i="4"/>
  <c r="I51" i="4"/>
  <c r="H51" i="4"/>
  <c r="G51" i="4"/>
  <c r="F51" i="4"/>
  <c r="E51" i="4"/>
  <c r="D51" i="4"/>
  <c r="C51" i="4"/>
  <c r="E37" i="4"/>
  <c r="D37" i="4"/>
  <c r="C37" i="4"/>
  <c r="C36" i="4"/>
  <c r="D36" i="4" s="1"/>
  <c r="I29" i="4"/>
  <c r="E29" i="4"/>
  <c r="J28" i="4"/>
  <c r="J29" i="4" s="1"/>
  <c r="I28" i="4"/>
  <c r="H28" i="4"/>
  <c r="G28" i="4"/>
  <c r="F28" i="4"/>
  <c r="F29" i="4" s="1"/>
  <c r="E28" i="4"/>
  <c r="D28" i="4"/>
  <c r="C28" i="4"/>
  <c r="B28" i="4"/>
  <c r="J26" i="4"/>
  <c r="I26" i="4"/>
  <c r="H26" i="4"/>
  <c r="H29" i="4" s="1"/>
  <c r="G26" i="4"/>
  <c r="F26" i="4"/>
  <c r="E26" i="4"/>
  <c r="D26" i="4"/>
  <c r="D29" i="4" s="1"/>
  <c r="C26" i="4"/>
  <c r="B26" i="4"/>
  <c r="D24" i="4"/>
  <c r="C24" i="4"/>
  <c r="F144" i="4" l="1"/>
  <c r="F145" i="4" s="1"/>
  <c r="E106" i="4"/>
  <c r="D91" i="4"/>
  <c r="C89" i="4"/>
  <c r="G89" i="4"/>
  <c r="B138" i="4"/>
  <c r="B139" i="4" s="1"/>
  <c r="C138" i="4"/>
  <c r="C139" i="4" s="1"/>
  <c r="G138" i="4"/>
  <c r="G139" i="4" s="1"/>
  <c r="C144" i="4"/>
  <c r="C145" i="4" s="1"/>
  <c r="G144" i="4"/>
  <c r="G145" i="4" s="1"/>
  <c r="D138" i="4"/>
  <c r="D139" i="4" s="1"/>
  <c r="H138" i="4"/>
  <c r="H139" i="4" s="1"/>
  <c r="D144" i="4"/>
  <c r="D145" i="4" s="1"/>
  <c r="H144" i="4"/>
  <c r="H145" i="4" s="1"/>
  <c r="F138" i="4"/>
  <c r="F139" i="4" s="1"/>
  <c r="B144" i="4"/>
  <c r="B145" i="4" s="1"/>
  <c r="E138" i="4"/>
  <c r="E139" i="4" s="1"/>
  <c r="I138" i="4"/>
  <c r="I139" i="4" s="1"/>
  <c r="E144" i="4"/>
  <c r="E145" i="4" s="1"/>
  <c r="I144" i="4"/>
  <c r="I145" i="4" s="1"/>
  <c r="D89" i="4"/>
  <c r="H89" i="4"/>
  <c r="E91" i="4"/>
  <c r="I91" i="4"/>
  <c r="F106" i="4"/>
  <c r="C108" i="4"/>
  <c r="G108" i="4"/>
  <c r="F108" i="4"/>
  <c r="E89" i="4"/>
  <c r="I89" i="4"/>
  <c r="F91" i="4"/>
  <c r="C106" i="4"/>
  <c r="G106" i="4"/>
  <c r="D108" i="4"/>
  <c r="H108" i="4"/>
  <c r="C91" i="4"/>
  <c r="D106" i="4"/>
  <c r="E108" i="4"/>
  <c r="E36" i="4"/>
  <c r="B29" i="4"/>
  <c r="C29" i="4"/>
  <c r="G29" i="4"/>
  <c r="J11" i="4"/>
  <c r="I11" i="4"/>
  <c r="H11" i="4"/>
  <c r="G11" i="4"/>
  <c r="F11" i="4"/>
  <c r="E11" i="4"/>
  <c r="D11" i="4"/>
  <c r="C11" i="4"/>
  <c r="B11" i="4"/>
  <c r="J10" i="4"/>
  <c r="I10" i="4"/>
  <c r="H10" i="4"/>
  <c r="G10" i="4"/>
  <c r="F10" i="4"/>
  <c r="E10" i="4"/>
  <c r="D10" i="4"/>
  <c r="C10" i="4"/>
  <c r="B10" i="4"/>
  <c r="J7" i="4"/>
  <c r="I7" i="4"/>
  <c r="H7" i="4"/>
  <c r="G7" i="4"/>
  <c r="F7" i="4"/>
  <c r="E7" i="4"/>
  <c r="D7" i="4"/>
  <c r="C7" i="4"/>
  <c r="B7" i="4"/>
  <c r="J6" i="4"/>
  <c r="I6" i="4"/>
  <c r="H6" i="4"/>
  <c r="G6" i="4"/>
  <c r="F6" i="4"/>
  <c r="E6" i="4"/>
  <c r="D6" i="4"/>
  <c r="C6" i="4"/>
  <c r="B6" i="4"/>
  <c r="J3" i="4"/>
  <c r="J5" i="4" s="1"/>
  <c r="I3" i="4"/>
  <c r="I5" i="4" s="1"/>
  <c r="H3" i="4"/>
  <c r="H5" i="4" s="1"/>
  <c r="G3" i="4"/>
  <c r="G4" i="4" s="1"/>
  <c r="F3" i="4"/>
  <c r="F5" i="4" s="1"/>
  <c r="E3" i="4"/>
  <c r="E5" i="4" s="1"/>
  <c r="D3" i="4"/>
  <c r="D5" i="4" s="1"/>
  <c r="C3" i="4"/>
  <c r="C4" i="4" s="1"/>
  <c r="B3" i="4"/>
  <c r="B5" i="4" s="1"/>
  <c r="I162" i="3"/>
  <c r="H162" i="3"/>
  <c r="G162" i="3"/>
  <c r="F162" i="3"/>
  <c r="E162" i="3"/>
  <c r="D162" i="3"/>
  <c r="C162" i="3"/>
  <c r="B162" i="3"/>
  <c r="I143" i="3"/>
  <c r="H143" i="3"/>
  <c r="G143" i="3"/>
  <c r="F143" i="3"/>
  <c r="E143" i="3"/>
  <c r="D143" i="3"/>
  <c r="C143" i="3"/>
  <c r="B143" i="3"/>
  <c r="I140" i="3"/>
  <c r="I141" i="3" s="1"/>
  <c r="H140" i="3"/>
  <c r="H141" i="3" s="1"/>
  <c r="G140" i="3"/>
  <c r="G141" i="3" s="1"/>
  <c r="F140" i="3"/>
  <c r="F141" i="3" s="1"/>
  <c r="E140" i="3"/>
  <c r="E141" i="3" s="1"/>
  <c r="D140" i="3"/>
  <c r="D141" i="3" s="1"/>
  <c r="C140" i="3"/>
  <c r="C141" i="3" s="1"/>
  <c r="B140" i="3"/>
  <c r="B141" i="3" s="1"/>
  <c r="I137" i="3"/>
  <c r="H137" i="3"/>
  <c r="G137" i="3"/>
  <c r="F137" i="3"/>
  <c r="E137" i="3"/>
  <c r="D137" i="3"/>
  <c r="C137" i="3"/>
  <c r="B137" i="3"/>
  <c r="I134" i="3"/>
  <c r="I135" i="3" s="1"/>
  <c r="H134" i="3"/>
  <c r="H135" i="3" s="1"/>
  <c r="G134" i="3"/>
  <c r="G135" i="3" s="1"/>
  <c r="F134" i="3"/>
  <c r="F135" i="3" s="1"/>
  <c r="E134" i="3"/>
  <c r="E135" i="3" s="1"/>
  <c r="D134" i="3"/>
  <c r="D135" i="3" s="1"/>
  <c r="C134" i="3"/>
  <c r="C135" i="3" s="1"/>
  <c r="B134" i="3"/>
  <c r="B135" i="3" s="1"/>
  <c r="F133" i="3"/>
  <c r="B133" i="3"/>
  <c r="I132" i="3"/>
  <c r="I133" i="3" s="1"/>
  <c r="H132" i="3"/>
  <c r="H133" i="3" s="1"/>
  <c r="G132" i="3"/>
  <c r="G133" i="3" s="1"/>
  <c r="E132" i="3"/>
  <c r="E133" i="3" s="1"/>
  <c r="D132" i="3"/>
  <c r="D133" i="3" s="1"/>
  <c r="C132" i="3"/>
  <c r="C133" i="3" s="1"/>
  <c r="I130" i="3"/>
  <c r="I131" i="3" s="1"/>
  <c r="H130" i="3"/>
  <c r="H131" i="3" s="1"/>
  <c r="G130" i="3"/>
  <c r="G131" i="3" s="1"/>
  <c r="F130" i="3"/>
  <c r="F131" i="3" s="1"/>
  <c r="E130" i="3"/>
  <c r="E131" i="3" s="1"/>
  <c r="D130" i="3"/>
  <c r="D131" i="3" s="1"/>
  <c r="C130" i="3"/>
  <c r="C131" i="3" s="1"/>
  <c r="B130" i="3"/>
  <c r="B131" i="3" s="1"/>
  <c r="F127" i="3"/>
  <c r="F129" i="3" s="1"/>
  <c r="D127" i="3"/>
  <c r="D129" i="3" s="1"/>
  <c r="B127" i="3"/>
  <c r="B129" i="3" s="1"/>
  <c r="I125" i="3"/>
  <c r="I127" i="3" s="1"/>
  <c r="I129" i="3" s="1"/>
  <c r="H125" i="3"/>
  <c r="H127" i="3" s="1"/>
  <c r="H129" i="3" s="1"/>
  <c r="G125" i="3"/>
  <c r="G127" i="3" s="1"/>
  <c r="G129" i="3" s="1"/>
  <c r="E125" i="3"/>
  <c r="E127" i="3" s="1"/>
  <c r="E129" i="3" s="1"/>
  <c r="D125" i="3"/>
  <c r="C125" i="3"/>
  <c r="C127" i="3" s="1"/>
  <c r="C129" i="3" s="1"/>
  <c r="I124" i="3"/>
  <c r="I126" i="3" s="1"/>
  <c r="I128" i="3" s="1"/>
  <c r="H124" i="3"/>
  <c r="H126" i="3" s="1"/>
  <c r="H128" i="3" s="1"/>
  <c r="G124" i="3"/>
  <c r="G126" i="3" s="1"/>
  <c r="G128" i="3" s="1"/>
  <c r="F124" i="3"/>
  <c r="F126" i="3" s="1"/>
  <c r="F128" i="3" s="1"/>
  <c r="E124" i="3"/>
  <c r="E126" i="3" s="1"/>
  <c r="E128" i="3" s="1"/>
  <c r="D124" i="3"/>
  <c r="D126" i="3" s="1"/>
  <c r="D128" i="3" s="1"/>
  <c r="C124" i="3"/>
  <c r="C126" i="3" s="1"/>
  <c r="C128" i="3" s="1"/>
  <c r="B124" i="3"/>
  <c r="B126" i="3" s="1"/>
  <c r="B128" i="3" s="1"/>
  <c r="F123" i="3"/>
  <c r="B123" i="3"/>
  <c r="I122" i="3"/>
  <c r="I123" i="3" s="1"/>
  <c r="H122" i="3"/>
  <c r="H123" i="3" s="1"/>
  <c r="G122" i="3"/>
  <c r="G123" i="3" s="1"/>
  <c r="E122" i="3"/>
  <c r="E123" i="3" s="1"/>
  <c r="D122" i="3"/>
  <c r="D123" i="3" s="1"/>
  <c r="C122" i="3"/>
  <c r="C123" i="3" s="1"/>
  <c r="I120" i="3"/>
  <c r="I121" i="3" s="1"/>
  <c r="H120" i="3"/>
  <c r="H121" i="3" s="1"/>
  <c r="G120" i="3"/>
  <c r="G121" i="3" s="1"/>
  <c r="F120" i="3"/>
  <c r="F121" i="3" s="1"/>
  <c r="E120" i="3"/>
  <c r="E121" i="3" s="1"/>
  <c r="D120" i="3"/>
  <c r="D121" i="3" s="1"/>
  <c r="C120" i="3"/>
  <c r="C121" i="3" s="1"/>
  <c r="B120" i="3"/>
  <c r="B121" i="3" s="1"/>
  <c r="F119" i="3"/>
  <c r="D119" i="3"/>
  <c r="B119" i="3"/>
  <c r="I118" i="3"/>
  <c r="I119" i="3" s="1"/>
  <c r="H118" i="3"/>
  <c r="H119" i="3" s="1"/>
  <c r="G118" i="3"/>
  <c r="G119" i="3" s="1"/>
  <c r="E118" i="3"/>
  <c r="E119" i="3" s="1"/>
  <c r="D118" i="3"/>
  <c r="C118" i="3"/>
  <c r="C119" i="3" s="1"/>
  <c r="B108" i="3"/>
  <c r="I108" i="3" s="1"/>
  <c r="I107" i="3"/>
  <c r="H107" i="3"/>
  <c r="G107" i="3"/>
  <c r="F107" i="3"/>
  <c r="E107" i="3"/>
  <c r="D107" i="3"/>
  <c r="C107" i="3"/>
  <c r="B106" i="3"/>
  <c r="H106" i="3" s="1"/>
  <c r="I105" i="3"/>
  <c r="H105" i="3"/>
  <c r="G105" i="3"/>
  <c r="F105" i="3"/>
  <c r="E105" i="3"/>
  <c r="D105" i="3"/>
  <c r="C105" i="3"/>
  <c r="B91" i="3"/>
  <c r="I91" i="3" s="1"/>
  <c r="I90" i="3"/>
  <c r="H90" i="3"/>
  <c r="G90" i="3"/>
  <c r="F90" i="3"/>
  <c r="E90" i="3"/>
  <c r="D90" i="3"/>
  <c r="C90" i="3"/>
  <c r="I89" i="3"/>
  <c r="B89" i="3"/>
  <c r="H89" i="3" s="1"/>
  <c r="I88" i="3"/>
  <c r="H88" i="3"/>
  <c r="G88" i="3"/>
  <c r="F88" i="3"/>
  <c r="E88" i="3"/>
  <c r="D88" i="3"/>
  <c r="C88" i="3"/>
  <c r="E74" i="3"/>
  <c r="E64" i="3"/>
  <c r="I61" i="3"/>
  <c r="H61" i="3"/>
  <c r="G61" i="3"/>
  <c r="F61" i="3"/>
  <c r="E61" i="3"/>
  <c r="D61" i="3"/>
  <c r="C61" i="3"/>
  <c r="B61" i="3"/>
  <c r="I59" i="3"/>
  <c r="H59" i="3"/>
  <c r="G59" i="3"/>
  <c r="F59" i="3"/>
  <c r="E59" i="3"/>
  <c r="D59" i="3"/>
  <c r="C59" i="3"/>
  <c r="B59" i="3"/>
  <c r="I52" i="3"/>
  <c r="H52" i="3"/>
  <c r="G52" i="3"/>
  <c r="F52" i="3"/>
  <c r="E52" i="3"/>
  <c r="D52" i="3"/>
  <c r="C52" i="3"/>
  <c r="I51" i="3"/>
  <c r="H51" i="3"/>
  <c r="G51" i="3"/>
  <c r="F51" i="3"/>
  <c r="E51" i="3"/>
  <c r="D51" i="3"/>
  <c r="C51" i="3"/>
  <c r="E37" i="3"/>
  <c r="D37" i="3"/>
  <c r="C37" i="3"/>
  <c r="C36" i="3"/>
  <c r="D36" i="3" s="1"/>
  <c r="E36" i="3" s="1"/>
  <c r="I29" i="3"/>
  <c r="E29" i="3"/>
  <c r="J28" i="3"/>
  <c r="J29" i="3" s="1"/>
  <c r="I28" i="3"/>
  <c r="H28" i="3"/>
  <c r="G28" i="3"/>
  <c r="F28" i="3"/>
  <c r="F29" i="3" s="1"/>
  <c r="E28" i="3"/>
  <c r="D28" i="3"/>
  <c r="C28" i="3"/>
  <c r="B28" i="3"/>
  <c r="B29" i="3" s="1"/>
  <c r="J26" i="3"/>
  <c r="I26" i="3"/>
  <c r="H26" i="3"/>
  <c r="H29" i="3" s="1"/>
  <c r="G26" i="3"/>
  <c r="F26" i="3"/>
  <c r="E26" i="3"/>
  <c r="D26" i="3"/>
  <c r="D29" i="3" s="1"/>
  <c r="C26" i="3"/>
  <c r="B26" i="3"/>
  <c r="D24" i="3"/>
  <c r="C24" i="3"/>
  <c r="D4" i="4" l="1"/>
  <c r="D12" i="4" s="1"/>
  <c r="D30" i="4" s="1"/>
  <c r="H4" i="4"/>
  <c r="H12" i="4" s="1"/>
  <c r="C5" i="4"/>
  <c r="C8" i="4" s="1"/>
  <c r="G5" i="4"/>
  <c r="G8" i="4" s="1"/>
  <c r="C12" i="4"/>
  <c r="C13" i="4"/>
  <c r="C33" i="4" s="1"/>
  <c r="G12" i="4"/>
  <c r="G13" i="4"/>
  <c r="G33" i="4" s="1"/>
  <c r="E9" i="4"/>
  <c r="E21" i="4" s="1"/>
  <c r="E8" i="4"/>
  <c r="I9" i="4"/>
  <c r="I21" i="4" s="1"/>
  <c r="I8" i="4"/>
  <c r="D9" i="4"/>
  <c r="D21" i="4" s="1"/>
  <c r="D8" i="4"/>
  <c r="H8" i="4"/>
  <c r="H9" i="4"/>
  <c r="H21" i="4" s="1"/>
  <c r="B9" i="4"/>
  <c r="B21" i="4" s="1"/>
  <c r="B8" i="4"/>
  <c r="F9" i="4"/>
  <c r="F21" i="4" s="1"/>
  <c r="F8" i="4"/>
  <c r="J9" i="4"/>
  <c r="J21" i="4" s="1"/>
  <c r="F64" i="4" s="1"/>
  <c r="J8" i="4"/>
  <c r="G9" i="4"/>
  <c r="G21" i="4" s="1"/>
  <c r="E4" i="4"/>
  <c r="I4" i="4"/>
  <c r="D13" i="4"/>
  <c r="D33" i="4" s="1"/>
  <c r="H13" i="4"/>
  <c r="H33" i="4" s="1"/>
  <c r="B4" i="4"/>
  <c r="F4" i="4"/>
  <c r="J4" i="4"/>
  <c r="C9" i="4"/>
  <c r="C21" i="4" s="1"/>
  <c r="F138" i="3"/>
  <c r="F139" i="3" s="1"/>
  <c r="B144" i="3"/>
  <c r="B145" i="3" s="1"/>
  <c r="F144" i="3"/>
  <c r="F145" i="3" s="1"/>
  <c r="C138" i="3"/>
  <c r="C139" i="3" s="1"/>
  <c r="G138" i="3"/>
  <c r="G139" i="3" s="1"/>
  <c r="C144" i="3"/>
  <c r="C145" i="3" s="1"/>
  <c r="G144" i="3"/>
  <c r="G145" i="3" s="1"/>
  <c r="B138" i="3"/>
  <c r="B139" i="3" s="1"/>
  <c r="D138" i="3"/>
  <c r="D139" i="3" s="1"/>
  <c r="H138" i="3"/>
  <c r="H139" i="3" s="1"/>
  <c r="D144" i="3"/>
  <c r="D145" i="3" s="1"/>
  <c r="H144" i="3"/>
  <c r="H145" i="3" s="1"/>
  <c r="E138" i="3"/>
  <c r="E139" i="3" s="1"/>
  <c r="I138" i="3"/>
  <c r="I139" i="3" s="1"/>
  <c r="E144" i="3"/>
  <c r="E145" i="3" s="1"/>
  <c r="I144" i="3"/>
  <c r="I145" i="3" s="1"/>
  <c r="E106" i="3"/>
  <c r="I106" i="3"/>
  <c r="F108" i="3"/>
  <c r="F106" i="3"/>
  <c r="C108" i="3"/>
  <c r="G108" i="3"/>
  <c r="C106" i="3"/>
  <c r="G106" i="3"/>
  <c r="D108" i="3"/>
  <c r="H108" i="3"/>
  <c r="D106" i="3"/>
  <c r="E108" i="3"/>
  <c r="E89" i="3"/>
  <c r="F91" i="3"/>
  <c r="F89" i="3"/>
  <c r="C91" i="3"/>
  <c r="C89" i="3"/>
  <c r="G89" i="3"/>
  <c r="D91" i="3"/>
  <c r="H91" i="3"/>
  <c r="G91" i="3"/>
  <c r="D89" i="3"/>
  <c r="E91" i="3"/>
  <c r="C29" i="3"/>
  <c r="G29" i="3"/>
  <c r="L29" i="2"/>
  <c r="L30" i="2"/>
  <c r="H57" i="4" l="1"/>
  <c r="G62" i="4"/>
  <c r="D47" i="4"/>
  <c r="D171" i="4"/>
  <c r="H62" i="4"/>
  <c r="G57" i="4"/>
  <c r="F57" i="4"/>
  <c r="I57" i="4"/>
  <c r="D31" i="4"/>
  <c r="D172" i="4"/>
  <c r="C43" i="4"/>
  <c r="C57" i="4"/>
  <c r="D60" i="4"/>
  <c r="D49" i="4"/>
  <c r="D62" i="4"/>
  <c r="C49" i="4"/>
  <c r="C62" i="4"/>
  <c r="B43" i="4"/>
  <c r="B57" i="4"/>
  <c r="D43" i="4"/>
  <c r="D57" i="4"/>
  <c r="E43" i="4"/>
  <c r="E57" i="4"/>
  <c r="H19" i="4"/>
  <c r="H18" i="4"/>
  <c r="B18" i="4"/>
  <c r="B19" i="4"/>
  <c r="E19" i="4"/>
  <c r="E18" i="4"/>
  <c r="K21" i="4"/>
  <c r="E71" i="4" s="1"/>
  <c r="E72" i="4" s="1"/>
  <c r="C30" i="4"/>
  <c r="C31" i="4"/>
  <c r="C172" i="4" s="1"/>
  <c r="C18" i="4"/>
  <c r="C19" i="4"/>
  <c r="G31" i="4"/>
  <c r="G30" i="4"/>
  <c r="J18" i="4"/>
  <c r="C64" i="4" s="1"/>
  <c r="J19" i="4"/>
  <c r="C65" i="4" s="1"/>
  <c r="D19" i="4"/>
  <c r="D18" i="4"/>
  <c r="F18" i="4"/>
  <c r="F19" i="4"/>
  <c r="I19" i="4"/>
  <c r="I18" i="4"/>
  <c r="G18" i="4"/>
  <c r="G19" i="4"/>
  <c r="H30" i="4"/>
  <c r="H31" i="4"/>
  <c r="E13" i="4"/>
  <c r="E33" i="4" s="1"/>
  <c r="E12" i="4"/>
  <c r="J13" i="4"/>
  <c r="J33" i="4" s="1"/>
  <c r="F74" i="4" s="1"/>
  <c r="J12" i="4"/>
  <c r="B13" i="4"/>
  <c r="B33" i="4" s="1"/>
  <c r="B12" i="4"/>
  <c r="F13" i="4"/>
  <c r="F33" i="4" s="1"/>
  <c r="F12" i="4"/>
  <c r="I13" i="4"/>
  <c r="I33" i="4" s="1"/>
  <c r="I12" i="4"/>
  <c r="E87" i="4" l="1"/>
  <c r="G157" i="4"/>
  <c r="F157" i="4"/>
  <c r="C41" i="4"/>
  <c r="C157" i="4"/>
  <c r="E157" i="4"/>
  <c r="H157" i="4"/>
  <c r="D71" i="4"/>
  <c r="D72" i="4" s="1"/>
  <c r="D87" i="4" s="1"/>
  <c r="I62" i="4"/>
  <c r="H60" i="4"/>
  <c r="I157" i="4"/>
  <c r="D41" i="4"/>
  <c r="D157" i="4"/>
  <c r="G171" i="4"/>
  <c r="C60" i="4"/>
  <c r="E55" i="4"/>
  <c r="E158" i="4"/>
  <c r="H55" i="4"/>
  <c r="H158" i="4"/>
  <c r="C71" i="4"/>
  <c r="C72" i="4" s="1"/>
  <c r="C87" i="4" s="1"/>
  <c r="H172" i="4"/>
  <c r="I71" i="4"/>
  <c r="I72" i="4" s="1"/>
  <c r="I87" i="4" s="1"/>
  <c r="F62" i="4"/>
  <c r="H171" i="4"/>
  <c r="I55" i="4"/>
  <c r="I158" i="4"/>
  <c r="D55" i="4"/>
  <c r="D158" i="4"/>
  <c r="G60" i="4"/>
  <c r="C171" i="4"/>
  <c r="B55" i="4"/>
  <c r="B158" i="4"/>
  <c r="B71" i="4"/>
  <c r="B72" i="4" s="1"/>
  <c r="B87" i="4" s="1"/>
  <c r="H71" i="4"/>
  <c r="H72" i="4" s="1"/>
  <c r="H87" i="4" s="1"/>
  <c r="F71" i="4"/>
  <c r="F72" i="4" s="1"/>
  <c r="F87" i="4" s="1"/>
  <c r="G172" i="4"/>
  <c r="G55" i="4"/>
  <c r="G158" i="4"/>
  <c r="F55" i="4"/>
  <c r="F158" i="4"/>
  <c r="C55" i="4"/>
  <c r="C158" i="4"/>
  <c r="B41" i="4"/>
  <c r="B157" i="4"/>
  <c r="D32" i="4"/>
  <c r="G71" i="4"/>
  <c r="G72" i="4" s="1"/>
  <c r="G87" i="4" s="1"/>
  <c r="B49" i="4"/>
  <c r="B62" i="4"/>
  <c r="E49" i="4"/>
  <c r="E62" i="4"/>
  <c r="H32" i="4"/>
  <c r="H34" i="4" s="1"/>
  <c r="C32" i="4"/>
  <c r="C47" i="4"/>
  <c r="E20" i="4"/>
  <c r="E41" i="4"/>
  <c r="H20" i="4"/>
  <c r="H22" i="4" s="1"/>
  <c r="K19" i="4"/>
  <c r="B68" i="4" s="1"/>
  <c r="B30" i="4"/>
  <c r="B31" i="4"/>
  <c r="F20" i="4"/>
  <c r="F22" i="4" s="1"/>
  <c r="C20" i="4"/>
  <c r="I30" i="4"/>
  <c r="I31" i="4"/>
  <c r="E30" i="4"/>
  <c r="E31" i="4"/>
  <c r="E172" i="4" s="1"/>
  <c r="K18" i="4"/>
  <c r="B67" i="4" s="1"/>
  <c r="B20" i="4"/>
  <c r="B40" i="4" s="1"/>
  <c r="B42" i="4" s="1"/>
  <c r="K33" i="4"/>
  <c r="B81" i="4" s="1"/>
  <c r="G20" i="4"/>
  <c r="G22" i="4" s="1"/>
  <c r="J20" i="4"/>
  <c r="J22" i="4" s="1"/>
  <c r="F30" i="4"/>
  <c r="F31" i="4"/>
  <c r="F172" i="4" s="1"/>
  <c r="J30" i="4"/>
  <c r="C74" i="4" s="1"/>
  <c r="J31" i="4"/>
  <c r="C75" i="4" s="1"/>
  <c r="I20" i="4"/>
  <c r="I22" i="4" s="1"/>
  <c r="D20" i="4"/>
  <c r="G32" i="4"/>
  <c r="G34" i="4" s="1"/>
  <c r="E74" i="1"/>
  <c r="H81" i="4" l="1"/>
  <c r="H82" i="4" s="1"/>
  <c r="H104" i="4" s="1"/>
  <c r="G81" i="4"/>
  <c r="G82" i="4" s="1"/>
  <c r="G104" i="4" s="1"/>
  <c r="D81" i="4"/>
  <c r="D82" i="4" s="1"/>
  <c r="D104" i="4" s="1"/>
  <c r="C81" i="4"/>
  <c r="C82" i="4" s="1"/>
  <c r="C104" i="4" s="1"/>
  <c r="I81" i="4"/>
  <c r="I82" i="4" s="1"/>
  <c r="I104" i="4" s="1"/>
  <c r="B82" i="4"/>
  <c r="F81" i="4"/>
  <c r="F82" i="4" s="1"/>
  <c r="E81" i="4"/>
  <c r="E82" i="4" s="1"/>
  <c r="C96" i="4"/>
  <c r="C97" i="4"/>
  <c r="C152" i="4" s="1"/>
  <c r="D96" i="4"/>
  <c r="D97" i="4"/>
  <c r="D152" i="4" s="1"/>
  <c r="B104" i="4"/>
  <c r="B84" i="4"/>
  <c r="F96" i="4"/>
  <c r="F97" i="4"/>
  <c r="F152" i="4" s="1"/>
  <c r="F104" i="4"/>
  <c r="D67" i="4"/>
  <c r="D69" i="4" s="1"/>
  <c r="D84" i="4" s="1"/>
  <c r="B69" i="4"/>
  <c r="C67" i="4"/>
  <c r="C69" i="4" s="1"/>
  <c r="C84" i="4" s="1"/>
  <c r="G67" i="4"/>
  <c r="E67" i="4"/>
  <c r="E69" i="4" s="1"/>
  <c r="E84" i="4" s="1"/>
  <c r="F67" i="4"/>
  <c r="F69" i="4" s="1"/>
  <c r="F84" i="4" s="1"/>
  <c r="G97" i="4"/>
  <c r="G152" i="4" s="1"/>
  <c r="G96" i="4"/>
  <c r="H97" i="4"/>
  <c r="H152" i="4" s="1"/>
  <c r="H96" i="4"/>
  <c r="I96" i="4"/>
  <c r="I97" i="4"/>
  <c r="I152" i="4" s="1"/>
  <c r="E68" i="4"/>
  <c r="E70" i="4" s="1"/>
  <c r="C68" i="4"/>
  <c r="C70" i="4" s="1"/>
  <c r="F68" i="4"/>
  <c r="F70" i="4" s="1"/>
  <c r="F85" i="4" s="1"/>
  <c r="F95" i="4" s="1"/>
  <c r="D68" i="4"/>
  <c r="D70" i="4" s="1"/>
  <c r="G68" i="4"/>
  <c r="B70" i="4"/>
  <c r="B85" i="4" s="1"/>
  <c r="B95" i="4" s="1"/>
  <c r="E104" i="4"/>
  <c r="B96" i="4"/>
  <c r="B97" i="4"/>
  <c r="B152" i="4" s="1"/>
  <c r="F171" i="4"/>
  <c r="I60" i="4"/>
  <c r="B60" i="4"/>
  <c r="I172" i="4"/>
  <c r="I171" i="4"/>
  <c r="B47" i="4"/>
  <c r="B171" i="4"/>
  <c r="B77" i="4"/>
  <c r="E60" i="4"/>
  <c r="D34" i="4"/>
  <c r="D46" i="4"/>
  <c r="D48" i="4" s="1"/>
  <c r="B172" i="4"/>
  <c r="E171" i="4"/>
  <c r="E96" i="4"/>
  <c r="E97" i="4"/>
  <c r="E152" i="4" s="1"/>
  <c r="F32" i="4"/>
  <c r="F34" i="4" s="1"/>
  <c r="F60" i="4"/>
  <c r="C22" i="4"/>
  <c r="C40" i="4"/>
  <c r="C42" i="4" s="1"/>
  <c r="D22" i="4"/>
  <c r="D40" i="4"/>
  <c r="D42" i="4" s="1"/>
  <c r="D85" i="4" s="1"/>
  <c r="D95" i="4" s="1"/>
  <c r="E32" i="4"/>
  <c r="E47" i="4"/>
  <c r="C34" i="4"/>
  <c r="C46" i="4"/>
  <c r="C48" i="4" s="1"/>
  <c r="E22" i="4"/>
  <c r="E40" i="4"/>
  <c r="E42" i="4" s="1"/>
  <c r="E85" i="4" s="1"/>
  <c r="E95" i="4" s="1"/>
  <c r="B22" i="4"/>
  <c r="K20" i="4"/>
  <c r="I32" i="4"/>
  <c r="I34" i="4" s="1"/>
  <c r="K30" i="4"/>
  <c r="B32" i="4"/>
  <c r="B46" i="4" s="1"/>
  <c r="K31" i="4"/>
  <c r="B78" i="4" s="1"/>
  <c r="J32" i="4"/>
  <c r="J34" i="4" s="1"/>
  <c r="C52" i="1"/>
  <c r="D52" i="1"/>
  <c r="E52" i="1"/>
  <c r="F52" i="1"/>
  <c r="I114" i="4" l="1"/>
  <c r="I167" i="4" s="1"/>
  <c r="I113" i="4"/>
  <c r="F149" i="4"/>
  <c r="F155" i="4" s="1"/>
  <c r="F99" i="4"/>
  <c r="C93" i="4"/>
  <c r="E86" i="4"/>
  <c r="E92" i="4" s="1"/>
  <c r="E93" i="4"/>
  <c r="D86" i="4"/>
  <c r="D92" i="4" s="1"/>
  <c r="D93" i="4"/>
  <c r="D94" i="4" s="1"/>
  <c r="D98" i="4" s="1"/>
  <c r="I78" i="4"/>
  <c r="I80" i="4" s="1"/>
  <c r="I102" i="4" s="1"/>
  <c r="I112" i="4" s="1"/>
  <c r="E78" i="4"/>
  <c r="E80" i="4" s="1"/>
  <c r="F78" i="4"/>
  <c r="F80" i="4" s="1"/>
  <c r="D78" i="4"/>
  <c r="D80" i="4" s="1"/>
  <c r="C78" i="4"/>
  <c r="C80" i="4" s="1"/>
  <c r="B80" i="4"/>
  <c r="H78" i="4"/>
  <c r="H80" i="4" s="1"/>
  <c r="H102" i="4" s="1"/>
  <c r="H112" i="4" s="1"/>
  <c r="G78" i="4"/>
  <c r="G80" i="4" s="1"/>
  <c r="G102" i="4" s="1"/>
  <c r="G112" i="4" s="1"/>
  <c r="F102" i="4"/>
  <c r="F112" i="4" s="1"/>
  <c r="B149" i="4"/>
  <c r="B155" i="4" s="1"/>
  <c r="B99" i="4"/>
  <c r="D99" i="4"/>
  <c r="D149" i="4"/>
  <c r="D155" i="4" s="1"/>
  <c r="B48" i="4"/>
  <c r="B102" i="4" s="1"/>
  <c r="B112" i="4" s="1"/>
  <c r="B165" i="4" s="1"/>
  <c r="B150" i="4"/>
  <c r="B151" i="4"/>
  <c r="H68" i="4"/>
  <c r="G70" i="4"/>
  <c r="G85" i="4" s="1"/>
  <c r="G95" i="4" s="1"/>
  <c r="H151" i="4"/>
  <c r="H150" i="4"/>
  <c r="F86" i="4"/>
  <c r="F92" i="4" s="1"/>
  <c r="F93" i="4"/>
  <c r="F150" i="4"/>
  <c r="F151" i="4"/>
  <c r="D151" i="4"/>
  <c r="D150" i="4"/>
  <c r="C113" i="4"/>
  <c r="C114" i="4"/>
  <c r="C167" i="4" s="1"/>
  <c r="C102" i="4"/>
  <c r="C112" i="4" s="1"/>
  <c r="D102" i="4"/>
  <c r="D112" i="4" s="1"/>
  <c r="F77" i="4"/>
  <c r="F79" i="4" s="1"/>
  <c r="F101" i="4" s="1"/>
  <c r="G77" i="4"/>
  <c r="G79" i="4" s="1"/>
  <c r="G101" i="4" s="1"/>
  <c r="H77" i="4"/>
  <c r="H79" i="4" s="1"/>
  <c r="H101" i="4" s="1"/>
  <c r="C77" i="4"/>
  <c r="C79" i="4" s="1"/>
  <c r="C101" i="4" s="1"/>
  <c r="I77" i="4"/>
  <c r="I79" i="4" s="1"/>
  <c r="I101" i="4" s="1"/>
  <c r="D77" i="4"/>
  <c r="D79" i="4" s="1"/>
  <c r="D101" i="4" s="1"/>
  <c r="E77" i="4"/>
  <c r="E79" i="4" s="1"/>
  <c r="E101" i="4" s="1"/>
  <c r="B79" i="4"/>
  <c r="B101" i="4" s="1"/>
  <c r="E99" i="4"/>
  <c r="E149" i="4"/>
  <c r="E155" i="4" s="1"/>
  <c r="C85" i="4"/>
  <c r="C95" i="4" s="1"/>
  <c r="E113" i="4"/>
  <c r="E114" i="4"/>
  <c r="E167" i="4" s="1"/>
  <c r="D113" i="4"/>
  <c r="D114" i="4"/>
  <c r="D167" i="4" s="1"/>
  <c r="E151" i="4"/>
  <c r="E166" i="4" s="1"/>
  <c r="E150" i="4"/>
  <c r="G151" i="4"/>
  <c r="G150" i="4"/>
  <c r="G69" i="4"/>
  <c r="G84" i="4" s="1"/>
  <c r="H67" i="4"/>
  <c r="F113" i="4"/>
  <c r="F114" i="4"/>
  <c r="F167" i="4" s="1"/>
  <c r="B86" i="4"/>
  <c r="B92" i="4" s="1"/>
  <c r="B93" i="4"/>
  <c r="G113" i="4"/>
  <c r="G114" i="4"/>
  <c r="G167" i="4" s="1"/>
  <c r="I151" i="4"/>
  <c r="I166" i="4" s="1"/>
  <c r="I150" i="4"/>
  <c r="B113" i="4"/>
  <c r="B114" i="4"/>
  <c r="C151" i="4"/>
  <c r="C166" i="4" s="1"/>
  <c r="C150" i="4"/>
  <c r="H113" i="4"/>
  <c r="H114" i="4"/>
  <c r="H167" i="4" s="1"/>
  <c r="E34" i="4"/>
  <c r="E46" i="4"/>
  <c r="E48" i="4" s="1"/>
  <c r="E102" i="4" s="1"/>
  <c r="E112" i="4" s="1"/>
  <c r="K22" i="4"/>
  <c r="K32" i="4"/>
  <c r="B34" i="4"/>
  <c r="K34" i="4" s="1"/>
  <c r="E64" i="1"/>
  <c r="B103" i="4" l="1"/>
  <c r="B109" i="4" s="1"/>
  <c r="B111" i="4" s="1"/>
  <c r="B115" i="4" s="1"/>
  <c r="B110" i="4"/>
  <c r="I165" i="4"/>
  <c r="I169" i="4" s="1"/>
  <c r="I116" i="4"/>
  <c r="B116" i="4"/>
  <c r="B167" i="4"/>
  <c r="G166" i="4"/>
  <c r="D103" i="4"/>
  <c r="D109" i="4" s="1"/>
  <c r="D110" i="4"/>
  <c r="G103" i="4"/>
  <c r="G109" i="4" s="1"/>
  <c r="G110" i="4"/>
  <c r="G111" i="4" s="1"/>
  <c r="G115" i="4" s="1"/>
  <c r="F166" i="4"/>
  <c r="B166" i="4"/>
  <c r="G116" i="4"/>
  <c r="G165" i="4"/>
  <c r="G169" i="4" s="1"/>
  <c r="C94" i="4"/>
  <c r="C98" i="4" s="1"/>
  <c r="E165" i="4"/>
  <c r="E169" i="4" s="1"/>
  <c r="E116" i="4"/>
  <c r="B94" i="4"/>
  <c r="B98" i="4" s="1"/>
  <c r="I67" i="4"/>
  <c r="I69" i="4" s="1"/>
  <c r="I84" i="4" s="1"/>
  <c r="H69" i="4"/>
  <c r="H84" i="4" s="1"/>
  <c r="I103" i="4"/>
  <c r="I109" i="4" s="1"/>
  <c r="I110" i="4"/>
  <c r="I111" i="4" s="1"/>
  <c r="I115" i="4" s="1"/>
  <c r="F103" i="4"/>
  <c r="F109" i="4" s="1"/>
  <c r="F110" i="4"/>
  <c r="H166" i="4"/>
  <c r="H165" i="4"/>
  <c r="H169" i="4" s="1"/>
  <c r="H116" i="4"/>
  <c r="D148" i="4"/>
  <c r="D147" i="4"/>
  <c r="D153" i="4" s="1"/>
  <c r="C86" i="4"/>
  <c r="C92" i="4" s="1"/>
  <c r="B147" i="4"/>
  <c r="B153" i="4" s="1"/>
  <c r="B148" i="4"/>
  <c r="G86" i="4"/>
  <c r="G92" i="4" s="1"/>
  <c r="G93" i="4"/>
  <c r="G94" i="4" s="1"/>
  <c r="G98" i="4" s="1"/>
  <c r="C103" i="4"/>
  <c r="C109" i="4" s="1"/>
  <c r="C110" i="4"/>
  <c r="D116" i="4"/>
  <c r="D165" i="4"/>
  <c r="D169" i="4" s="1"/>
  <c r="G99" i="4"/>
  <c r="G149" i="4"/>
  <c r="G155" i="4" s="1"/>
  <c r="B169" i="4"/>
  <c r="E94" i="4"/>
  <c r="E98" i="4" s="1"/>
  <c r="C149" i="4"/>
  <c r="C155" i="4" s="1"/>
  <c r="C99" i="4"/>
  <c r="E103" i="4"/>
  <c r="E109" i="4" s="1"/>
  <c r="E110" i="4"/>
  <c r="E111" i="4" s="1"/>
  <c r="E115" i="4" s="1"/>
  <c r="H103" i="4"/>
  <c r="H109" i="4" s="1"/>
  <c r="H110" i="4"/>
  <c r="C116" i="4"/>
  <c r="C165" i="4"/>
  <c r="C169" i="4" s="1"/>
  <c r="D166" i="4"/>
  <c r="F148" i="4"/>
  <c r="F147" i="4"/>
  <c r="F153" i="4" s="1"/>
  <c r="F94" i="4"/>
  <c r="F98" i="4" s="1"/>
  <c r="I68" i="4"/>
  <c r="I70" i="4" s="1"/>
  <c r="I85" i="4" s="1"/>
  <c r="I95" i="4" s="1"/>
  <c r="H70" i="4"/>
  <c r="H85" i="4" s="1"/>
  <c r="H95" i="4" s="1"/>
  <c r="F116" i="4"/>
  <c r="F165" i="4"/>
  <c r="F169" i="4" s="1"/>
  <c r="E148" i="4"/>
  <c r="E147" i="4"/>
  <c r="E153" i="4" s="1"/>
  <c r="A178" i="2"/>
  <c r="A177" i="2"/>
  <c r="A133" i="2"/>
  <c r="A132" i="2"/>
  <c r="A88" i="2"/>
  <c r="A87" i="2"/>
  <c r="A78" i="2"/>
  <c r="E164" i="4" l="1"/>
  <c r="E168" i="4" s="1"/>
  <c r="E170" i="4" s="1"/>
  <c r="E154" i="4"/>
  <c r="E156" i="4" s="1"/>
  <c r="I86" i="4"/>
  <c r="I92" i="4" s="1"/>
  <c r="I93" i="4"/>
  <c r="C148" i="4"/>
  <c r="C147" i="4"/>
  <c r="C153" i="4" s="1"/>
  <c r="G148" i="4"/>
  <c r="G147" i="4"/>
  <c r="G153" i="4" s="1"/>
  <c r="I99" i="4"/>
  <c r="I149" i="4"/>
  <c r="I155" i="4" s="1"/>
  <c r="H99" i="4"/>
  <c r="H149" i="4"/>
  <c r="H155" i="4" s="1"/>
  <c r="F154" i="4"/>
  <c r="F156" i="4" s="1"/>
  <c r="H111" i="4"/>
  <c r="H115" i="4" s="1"/>
  <c r="C111" i="4"/>
  <c r="C115" i="4" s="1"/>
  <c r="B164" i="4"/>
  <c r="B168" i="4" s="1"/>
  <c r="B170" i="4" s="1"/>
  <c r="B154" i="4"/>
  <c r="B156" i="4" s="1"/>
  <c r="D164" i="4"/>
  <c r="D168" i="4" s="1"/>
  <c r="D170" i="4" s="1"/>
  <c r="D154" i="4"/>
  <c r="D156" i="4" s="1"/>
  <c r="F111" i="4"/>
  <c r="F115" i="4" s="1"/>
  <c r="H86" i="4"/>
  <c r="H92" i="4" s="1"/>
  <c r="H93" i="4"/>
  <c r="D111" i="4"/>
  <c r="D115" i="4" s="1"/>
  <c r="A123" i="2"/>
  <c r="A124" i="2"/>
  <c r="A125" i="2"/>
  <c r="H94" i="4" l="1"/>
  <c r="H98" i="4" s="1"/>
  <c r="G164" i="4"/>
  <c r="G168" i="4" s="1"/>
  <c r="G170" i="4" s="1"/>
  <c r="G154" i="4"/>
  <c r="G156" i="4" s="1"/>
  <c r="I94" i="4"/>
  <c r="I98" i="4" s="1"/>
  <c r="I148" i="4"/>
  <c r="I147" i="4"/>
  <c r="I153" i="4" s="1"/>
  <c r="H148" i="4"/>
  <c r="H147" i="4"/>
  <c r="H153" i="4" s="1"/>
  <c r="F164" i="4"/>
  <c r="F168" i="4" s="1"/>
  <c r="F170" i="4" s="1"/>
  <c r="C164" i="4"/>
  <c r="C168" i="4" s="1"/>
  <c r="C170" i="4" s="1"/>
  <c r="C154" i="4"/>
  <c r="C156" i="4" s="1"/>
  <c r="D13" i="2"/>
  <c r="E13" i="2" s="1"/>
  <c r="F13" i="2" s="1"/>
  <c r="G13" i="2" s="1"/>
  <c r="H13" i="2" s="1"/>
  <c r="I13" i="2" s="1"/>
  <c r="J13" i="2" s="1"/>
  <c r="D12" i="2"/>
  <c r="E12" i="2" s="1"/>
  <c r="F12" i="2" s="1"/>
  <c r="G12" i="2" s="1"/>
  <c r="H12" i="2" s="1"/>
  <c r="I12" i="2" s="1"/>
  <c r="J12" i="2" s="1"/>
  <c r="D10" i="2"/>
  <c r="E10" i="2" s="1"/>
  <c r="F10" i="2" s="1"/>
  <c r="G10" i="2" s="1"/>
  <c r="H10" i="2" s="1"/>
  <c r="I10" i="2" s="1"/>
  <c r="J10" i="2" s="1"/>
  <c r="D27" i="2"/>
  <c r="E27" i="2" s="1"/>
  <c r="F27" i="2" s="1"/>
  <c r="G27" i="2" s="1"/>
  <c r="H27" i="2" s="1"/>
  <c r="I27" i="2" s="1"/>
  <c r="J27" i="2" s="1"/>
  <c r="D26" i="2"/>
  <c r="E26" i="2" s="1"/>
  <c r="F26" i="2" s="1"/>
  <c r="G26" i="2" s="1"/>
  <c r="H26" i="2" s="1"/>
  <c r="I26" i="2" s="1"/>
  <c r="J26" i="2" s="1"/>
  <c r="D24" i="2"/>
  <c r="E24" i="2" s="1"/>
  <c r="F24" i="2" s="1"/>
  <c r="G24" i="2" s="1"/>
  <c r="H24" i="2" s="1"/>
  <c r="I24" i="2" s="1"/>
  <c r="J24" i="2" s="1"/>
  <c r="D20" i="2"/>
  <c r="E20" i="2" s="1"/>
  <c r="F20" i="2" s="1"/>
  <c r="G20" i="2" s="1"/>
  <c r="H20" i="2" s="1"/>
  <c r="I20" i="2" s="1"/>
  <c r="J20" i="2" s="1"/>
  <c r="D19" i="2"/>
  <c r="E19" i="2" s="1"/>
  <c r="F19" i="2" s="1"/>
  <c r="G19" i="2" s="1"/>
  <c r="H19" i="2" s="1"/>
  <c r="I19" i="2" s="1"/>
  <c r="J19" i="2" s="1"/>
  <c r="D17" i="2"/>
  <c r="E17" i="2" s="1"/>
  <c r="F17" i="2" s="1"/>
  <c r="G17" i="2" s="1"/>
  <c r="H17" i="2" s="1"/>
  <c r="I17" i="2" s="1"/>
  <c r="J17" i="2" s="1"/>
  <c r="H164" i="4" l="1"/>
  <c r="H168" i="4" s="1"/>
  <c r="H170" i="4" s="1"/>
  <c r="H154" i="4"/>
  <c r="H156" i="4" s="1"/>
  <c r="I164" i="4"/>
  <c r="I168" i="4" s="1"/>
  <c r="I170" i="4" s="1"/>
  <c r="I154" i="4"/>
  <c r="I156" i="4" s="1"/>
  <c r="L24" i="2"/>
  <c r="L25" i="2"/>
  <c r="L26" i="2"/>
  <c r="L27" i="2"/>
  <c r="L28" i="2"/>
  <c r="L31" i="2"/>
  <c r="L32" i="2"/>
  <c r="L33" i="2"/>
  <c r="L34" i="2"/>
  <c r="L36" i="2"/>
  <c r="L38" i="2"/>
  <c r="L39" i="2"/>
  <c r="L40" i="2"/>
  <c r="L41" i="2"/>
  <c r="L42" i="2"/>
  <c r="L43" i="2"/>
  <c r="L22" i="2"/>
  <c r="B42" i="5" l="1"/>
  <c r="B66" i="5" s="1"/>
  <c r="M42" i="2" s="1"/>
  <c r="C42" i="5"/>
  <c r="D42" i="5"/>
  <c r="E42" i="5"/>
  <c r="F42" i="5"/>
  <c r="C66" i="5" s="1"/>
  <c r="N42" i="2" s="1"/>
  <c r="B108" i="1"/>
  <c r="B91" i="1"/>
  <c r="B62" i="5" l="1"/>
  <c r="M38" i="2" s="1"/>
  <c r="F120" i="1"/>
  <c r="G120" i="1"/>
  <c r="H120" i="1"/>
  <c r="I120" i="1"/>
  <c r="C130" i="1"/>
  <c r="D130" i="1"/>
  <c r="E130" i="1"/>
  <c r="F130" i="1"/>
  <c r="G130" i="1"/>
  <c r="H130" i="1"/>
  <c r="I130" i="1"/>
  <c r="B130" i="1"/>
  <c r="B140" i="1"/>
  <c r="J28" i="1"/>
  <c r="I28" i="1"/>
  <c r="H28" i="1"/>
  <c r="G28" i="1"/>
  <c r="F28" i="1"/>
  <c r="E28" i="1"/>
  <c r="D28" i="1"/>
  <c r="C28" i="1"/>
  <c r="B28" i="1"/>
  <c r="J26" i="1"/>
  <c r="I26" i="1"/>
  <c r="H26" i="1"/>
  <c r="G26" i="1"/>
  <c r="F26" i="1"/>
  <c r="E26" i="1"/>
  <c r="D26" i="1"/>
  <c r="C26" i="1"/>
  <c r="B26" i="1"/>
  <c r="D24" i="1"/>
  <c r="C24" i="1"/>
  <c r="N6" i="5"/>
  <c r="J3" i="3" s="1"/>
  <c r="J4" i="3" l="1"/>
  <c r="J5" i="3"/>
  <c r="J3" i="1"/>
  <c r="J5" i="1" s="1"/>
  <c r="D29" i="1"/>
  <c r="H29" i="1"/>
  <c r="G131" i="1"/>
  <c r="C131" i="1"/>
  <c r="F131" i="1"/>
  <c r="I131" i="1"/>
  <c r="E131" i="1"/>
  <c r="H131" i="1"/>
  <c r="D131" i="1"/>
  <c r="E29" i="1"/>
  <c r="C29" i="1"/>
  <c r="G29" i="1"/>
  <c r="B29" i="1"/>
  <c r="F29" i="1"/>
  <c r="J29" i="1"/>
  <c r="J4" i="1"/>
  <c r="I29" i="1"/>
  <c r="B67" i="5"/>
  <c r="M43" i="2" s="1"/>
  <c r="B65" i="5"/>
  <c r="M41" i="2" s="1"/>
  <c r="B64" i="5"/>
  <c r="M40" i="2" s="1"/>
  <c r="B63" i="5"/>
  <c r="M39" i="2" s="1"/>
  <c r="C67" i="5" l="1"/>
  <c r="N43" i="2" s="1"/>
  <c r="F41" i="5"/>
  <c r="C55" i="5" s="1"/>
  <c r="N31" i="2" s="1"/>
  <c r="E41" i="5"/>
  <c r="D41" i="5"/>
  <c r="C41" i="5"/>
  <c r="B41" i="5"/>
  <c r="F40" i="5"/>
  <c r="E40" i="5"/>
  <c r="E44" i="5" s="1"/>
  <c r="D40" i="5"/>
  <c r="D44" i="5" s="1"/>
  <c r="C40" i="5"/>
  <c r="C44" i="5" s="1"/>
  <c r="B40" i="5"/>
  <c r="C43" i="5" l="1"/>
  <c r="D43" i="5"/>
  <c r="B55" i="5"/>
  <c r="M31" i="2" s="1"/>
  <c r="B51" i="5"/>
  <c r="M27" i="2" s="1"/>
  <c r="B58" i="5"/>
  <c r="M34" i="2" s="1"/>
  <c r="B49" i="5"/>
  <c r="M25" i="2" s="1"/>
  <c r="B52" i="5"/>
  <c r="M28" i="2" s="1"/>
  <c r="B56" i="5"/>
  <c r="M32" i="2" s="1"/>
  <c r="B53" i="5"/>
  <c r="M29" i="2" s="1"/>
  <c r="B54" i="5"/>
  <c r="M30" i="2" s="1"/>
  <c r="B57" i="5"/>
  <c r="M33" i="2" s="1"/>
  <c r="B50" i="5"/>
  <c r="M26" i="2" s="1"/>
  <c r="B48" i="5"/>
  <c r="M24" i="2" s="1"/>
  <c r="E43" i="5"/>
  <c r="F43" i="5"/>
  <c r="F44" i="5"/>
  <c r="B44" i="5"/>
  <c r="B43" i="5"/>
  <c r="C48" i="5"/>
  <c r="N24" i="2" s="1"/>
  <c r="C52" i="5"/>
  <c r="N28" i="2" s="1"/>
  <c r="C56" i="5"/>
  <c r="N32" i="2" s="1"/>
  <c r="C63" i="5"/>
  <c r="N39" i="2" s="1"/>
  <c r="C49" i="5"/>
  <c r="N25" i="2" s="1"/>
  <c r="C53" i="5"/>
  <c r="N29" i="2" s="1"/>
  <c r="C57" i="5"/>
  <c r="N33" i="2" s="1"/>
  <c r="C64" i="5"/>
  <c r="N40" i="2" s="1"/>
  <c r="C50" i="5"/>
  <c r="N26" i="2" s="1"/>
  <c r="C54" i="5"/>
  <c r="N30" i="2" s="1"/>
  <c r="C58" i="5"/>
  <c r="N34" i="2" s="1"/>
  <c r="C65" i="5"/>
  <c r="N41" i="2" s="1"/>
  <c r="C51" i="5"/>
  <c r="N27" i="2" s="1"/>
  <c r="C62" i="5"/>
  <c r="N38" i="2" s="1"/>
  <c r="B6" i="1" l="1"/>
  <c r="F6" i="1"/>
  <c r="C6" i="1"/>
  <c r="G6" i="1"/>
  <c r="D6" i="1"/>
  <c r="H6" i="1"/>
  <c r="E6" i="1"/>
  <c r="I6" i="1"/>
  <c r="E11" i="1"/>
  <c r="I11" i="1"/>
  <c r="B11" i="1"/>
  <c r="F11" i="1"/>
  <c r="C11" i="1"/>
  <c r="G11" i="1"/>
  <c r="D11" i="1"/>
  <c r="H11" i="1"/>
  <c r="B7" i="1"/>
  <c r="F7" i="1"/>
  <c r="C7" i="1"/>
  <c r="G7" i="1"/>
  <c r="D7" i="1"/>
  <c r="H7" i="1"/>
  <c r="E7" i="1"/>
  <c r="I7" i="1"/>
  <c r="E10" i="1"/>
  <c r="I10" i="1"/>
  <c r="B10" i="1"/>
  <c r="F10" i="1"/>
  <c r="C10" i="1"/>
  <c r="G10" i="1"/>
  <c r="D10" i="1"/>
  <c r="H10" i="1"/>
  <c r="H11" i="3"/>
  <c r="D11" i="3"/>
  <c r="G11" i="3"/>
  <c r="C11" i="3"/>
  <c r="J11" i="3"/>
  <c r="J13" i="3" s="1"/>
  <c r="F11" i="3"/>
  <c r="B11" i="3"/>
  <c r="I11" i="3"/>
  <c r="E11" i="3"/>
  <c r="J11" i="1"/>
  <c r="J13" i="1" s="1"/>
  <c r="J33" i="1" s="1"/>
  <c r="F74" i="1" s="1"/>
  <c r="I10" i="3"/>
  <c r="E10" i="3"/>
  <c r="H10" i="3"/>
  <c r="D10" i="3"/>
  <c r="G10" i="3"/>
  <c r="C10" i="3"/>
  <c r="J10" i="3"/>
  <c r="J12" i="3" s="1"/>
  <c r="F10" i="3"/>
  <c r="B10" i="3"/>
  <c r="J10" i="1"/>
  <c r="J12" i="1" s="1"/>
  <c r="I6" i="3"/>
  <c r="E6" i="3"/>
  <c r="G6" i="3"/>
  <c r="C6" i="3"/>
  <c r="J6" i="3"/>
  <c r="J8" i="3" s="1"/>
  <c r="F6" i="3"/>
  <c r="B6" i="3"/>
  <c r="J6" i="1"/>
  <c r="J8" i="1" s="1"/>
  <c r="H6" i="3"/>
  <c r="D6" i="3"/>
  <c r="H7" i="3"/>
  <c r="D7" i="3"/>
  <c r="J7" i="3"/>
  <c r="J9" i="3" s="1"/>
  <c r="F7" i="3"/>
  <c r="B7" i="3"/>
  <c r="I7" i="3"/>
  <c r="E7" i="3"/>
  <c r="G7" i="3"/>
  <c r="C7" i="3"/>
  <c r="J7" i="1"/>
  <c r="J9" i="1" s="1"/>
  <c r="J21" i="1" s="1"/>
  <c r="F64" i="1" s="1"/>
  <c r="C36" i="1"/>
  <c r="D36" i="1" s="1"/>
  <c r="E36" i="1" s="1"/>
  <c r="A79" i="2"/>
  <c r="J19" i="3" l="1"/>
  <c r="C65" i="3" s="1"/>
  <c r="J18" i="3"/>
  <c r="J21" i="3"/>
  <c r="F64" i="3" s="1"/>
  <c r="J33" i="3"/>
  <c r="F74" i="3" s="1"/>
  <c r="J30" i="3"/>
  <c r="J31" i="3"/>
  <c r="C75" i="3" s="1"/>
  <c r="J30" i="1"/>
  <c r="J31" i="1"/>
  <c r="B178" i="2"/>
  <c r="J18" i="1"/>
  <c r="C64" i="1" s="1"/>
  <c r="B78" i="2" s="1"/>
  <c r="J19" i="1"/>
  <c r="B170" i="2"/>
  <c r="B168" i="2"/>
  <c r="C124" i="1"/>
  <c r="D124" i="1"/>
  <c r="E124" i="1"/>
  <c r="F124" i="1"/>
  <c r="G124" i="1"/>
  <c r="H124" i="1"/>
  <c r="I124" i="1"/>
  <c r="C120" i="1"/>
  <c r="D120" i="1"/>
  <c r="E120" i="1"/>
  <c r="I122" i="1"/>
  <c r="H122" i="1"/>
  <c r="G122" i="1"/>
  <c r="E122" i="1"/>
  <c r="D122" i="1"/>
  <c r="C122" i="1"/>
  <c r="I118" i="1"/>
  <c r="H118" i="1"/>
  <c r="G118" i="1"/>
  <c r="E118" i="1"/>
  <c r="D118" i="1"/>
  <c r="C118" i="1"/>
  <c r="B133" i="2" l="1"/>
  <c r="B125" i="2"/>
  <c r="J20" i="3"/>
  <c r="J22" i="3" s="1"/>
  <c r="C64" i="3"/>
  <c r="B123" i="2" s="1"/>
  <c r="J32" i="3"/>
  <c r="J34" i="3" s="1"/>
  <c r="C65" i="1"/>
  <c r="B80" i="2" s="1"/>
  <c r="B174" i="2"/>
  <c r="J32" i="1"/>
  <c r="J34" i="1" s="1"/>
  <c r="B177" i="2"/>
  <c r="J20" i="1"/>
  <c r="J22" i="1" s="1"/>
  <c r="B84" i="2" l="1"/>
  <c r="B129" i="2"/>
  <c r="G6" i="5"/>
  <c r="C3" i="1" s="1"/>
  <c r="H6" i="5"/>
  <c r="D3" i="1" s="1"/>
  <c r="I6" i="5"/>
  <c r="E3" i="1" s="1"/>
  <c r="J6" i="5"/>
  <c r="F3" i="1" s="1"/>
  <c r="K6" i="5"/>
  <c r="G3" i="1" s="1"/>
  <c r="L6" i="5"/>
  <c r="H3" i="1" s="1"/>
  <c r="M6" i="5"/>
  <c r="I3" i="1" s="1"/>
  <c r="F6" i="5"/>
  <c r="B3" i="1" s="1"/>
  <c r="G4" i="1" l="1"/>
  <c r="G5" i="1"/>
  <c r="C4" i="1"/>
  <c r="C5" i="1"/>
  <c r="B4" i="1"/>
  <c r="B5" i="1"/>
  <c r="F4" i="1"/>
  <c r="F5" i="1"/>
  <c r="I4" i="1"/>
  <c r="I5" i="1"/>
  <c r="E4" i="1"/>
  <c r="E5" i="1"/>
  <c r="H5" i="1"/>
  <c r="H4" i="1"/>
  <c r="D5" i="1"/>
  <c r="D4" i="1"/>
  <c r="H3" i="3"/>
  <c r="D3" i="3"/>
  <c r="G3" i="3"/>
  <c r="C3" i="3"/>
  <c r="B3" i="3"/>
  <c r="F3" i="3"/>
  <c r="I3" i="3"/>
  <c r="E3" i="3"/>
  <c r="F127" i="1"/>
  <c r="B127" i="1"/>
  <c r="D5" i="3" l="1"/>
  <c r="D4" i="3"/>
  <c r="E4" i="3"/>
  <c r="E5" i="3"/>
  <c r="F4" i="3"/>
  <c r="F5" i="3"/>
  <c r="C4" i="3"/>
  <c r="C5" i="3"/>
  <c r="I4" i="3"/>
  <c r="I5" i="3"/>
  <c r="B4" i="3"/>
  <c r="B5" i="3"/>
  <c r="G4" i="3"/>
  <c r="G5" i="3"/>
  <c r="H4" i="3"/>
  <c r="H5" i="3"/>
  <c r="D12" i="1"/>
  <c r="D13" i="1"/>
  <c r="E9" i="1"/>
  <c r="E8" i="1"/>
  <c r="F9" i="1"/>
  <c r="F8" i="1"/>
  <c r="C8" i="1"/>
  <c r="C9" i="1"/>
  <c r="D8" i="1"/>
  <c r="D9" i="1"/>
  <c r="E13" i="1"/>
  <c r="E12" i="1"/>
  <c r="F12" i="1"/>
  <c r="F13" i="1"/>
  <c r="C12" i="1"/>
  <c r="C13" i="1"/>
  <c r="H13" i="1"/>
  <c r="H12" i="1"/>
  <c r="I8" i="1"/>
  <c r="I9" i="1"/>
  <c r="B9" i="1"/>
  <c r="B8" i="1"/>
  <c r="G9" i="1"/>
  <c r="G8" i="1"/>
  <c r="H9" i="1"/>
  <c r="H8" i="1"/>
  <c r="I12" i="1"/>
  <c r="I13" i="1"/>
  <c r="B12" i="1"/>
  <c r="B13" i="1"/>
  <c r="G12" i="1"/>
  <c r="G13" i="1"/>
  <c r="B42" i="2"/>
  <c r="C42" i="2"/>
  <c r="D42" i="2"/>
  <c r="E42" i="2"/>
  <c r="F42" i="2"/>
  <c r="G42" i="2"/>
  <c r="H42" i="2"/>
  <c r="I42" i="2"/>
  <c r="C41" i="2"/>
  <c r="D41" i="2"/>
  <c r="E41" i="2"/>
  <c r="F41" i="2"/>
  <c r="G41" i="2"/>
  <c r="H41" i="2"/>
  <c r="I41" i="2"/>
  <c r="B41" i="2"/>
  <c r="D40" i="2"/>
  <c r="E40" i="2"/>
  <c r="F40" i="2"/>
  <c r="G40" i="2"/>
  <c r="H40" i="2"/>
  <c r="I40" i="2"/>
  <c r="C40" i="2"/>
  <c r="B12" i="3" l="1"/>
  <c r="B13" i="3"/>
  <c r="B33" i="3" s="1"/>
  <c r="E21" i="1"/>
  <c r="G33" i="1"/>
  <c r="E8" i="3"/>
  <c r="E9" i="3"/>
  <c r="E21" i="3" s="1"/>
  <c r="G12" i="3"/>
  <c r="G13" i="3"/>
  <c r="G33" i="3" s="1"/>
  <c r="F12" i="3"/>
  <c r="F13" i="3"/>
  <c r="F33" i="3" s="1"/>
  <c r="D8" i="3"/>
  <c r="D9" i="3"/>
  <c r="D21" i="3" s="1"/>
  <c r="B21" i="1"/>
  <c r="B57" i="1" s="1"/>
  <c r="H9" i="3"/>
  <c r="H21" i="3" s="1"/>
  <c r="H8" i="3"/>
  <c r="C21" i="1"/>
  <c r="C13" i="3"/>
  <c r="C33" i="3" s="1"/>
  <c r="C12" i="3"/>
  <c r="I33" i="1"/>
  <c r="D33" i="1"/>
  <c r="I8" i="3"/>
  <c r="I9" i="3"/>
  <c r="I21" i="3" s="1"/>
  <c r="H21" i="1"/>
  <c r="F33" i="1"/>
  <c r="H13" i="3"/>
  <c r="H33" i="3" s="1"/>
  <c r="H12" i="3"/>
  <c r="C33" i="1"/>
  <c r="C8" i="3"/>
  <c r="C9" i="3"/>
  <c r="C21" i="3" s="1"/>
  <c r="I21" i="1"/>
  <c r="D21" i="1"/>
  <c r="I13" i="3"/>
  <c r="I33" i="3" s="1"/>
  <c r="I12" i="3"/>
  <c r="H33" i="1"/>
  <c r="F21" i="1"/>
  <c r="B8" i="3"/>
  <c r="B9" i="3"/>
  <c r="B21" i="3" s="1"/>
  <c r="E33" i="1"/>
  <c r="G21" i="1"/>
  <c r="E13" i="3"/>
  <c r="E33" i="3" s="1"/>
  <c r="E12" i="3"/>
  <c r="G9" i="3"/>
  <c r="G21" i="3" s="1"/>
  <c r="G8" i="3"/>
  <c r="F9" i="3"/>
  <c r="F21" i="3" s="1"/>
  <c r="F8" i="3"/>
  <c r="D13" i="3"/>
  <c r="D33" i="3" s="1"/>
  <c r="D12" i="3"/>
  <c r="B33" i="1"/>
  <c r="I45" i="2"/>
  <c r="F44" i="2"/>
  <c r="F57" i="3" l="1"/>
  <c r="I62" i="3"/>
  <c r="G62" i="3"/>
  <c r="I57" i="3"/>
  <c r="H57" i="3"/>
  <c r="F62" i="3"/>
  <c r="F172" i="3"/>
  <c r="G57" i="3"/>
  <c r="H62" i="3"/>
  <c r="C43" i="3"/>
  <c r="C57" i="3"/>
  <c r="C49" i="3"/>
  <c r="C62" i="3"/>
  <c r="D49" i="3"/>
  <c r="D62" i="3"/>
  <c r="E49" i="3"/>
  <c r="E62" i="3"/>
  <c r="B49" i="3"/>
  <c r="B62" i="3"/>
  <c r="B43" i="3"/>
  <c r="B57" i="3"/>
  <c r="D43" i="3"/>
  <c r="D57" i="3"/>
  <c r="E43" i="3"/>
  <c r="E57" i="3"/>
  <c r="K33" i="3"/>
  <c r="B81" i="3" s="1"/>
  <c r="G18" i="3"/>
  <c r="G157" i="3" s="1"/>
  <c r="G19" i="3"/>
  <c r="H18" i="3"/>
  <c r="H157" i="3" s="1"/>
  <c r="H19" i="3"/>
  <c r="G30" i="3"/>
  <c r="G171" i="3" s="1"/>
  <c r="G31" i="3"/>
  <c r="G60" i="3" s="1"/>
  <c r="B19" i="3"/>
  <c r="B158" i="3" s="1"/>
  <c r="B18" i="3"/>
  <c r="H30" i="3"/>
  <c r="H171" i="3" s="1"/>
  <c r="H31" i="3"/>
  <c r="H60" i="3" s="1"/>
  <c r="C31" i="3"/>
  <c r="C60" i="3" s="1"/>
  <c r="C30" i="3"/>
  <c r="C18" i="3"/>
  <c r="C19" i="3"/>
  <c r="K21" i="3"/>
  <c r="I30" i="3"/>
  <c r="I31" i="3"/>
  <c r="I60" i="3" s="1"/>
  <c r="I19" i="3"/>
  <c r="I18" i="3"/>
  <c r="B30" i="3"/>
  <c r="B31" i="3"/>
  <c r="B60" i="3" s="1"/>
  <c r="D30" i="3"/>
  <c r="D31" i="3"/>
  <c r="D60" i="3" s="1"/>
  <c r="F19" i="3"/>
  <c r="F18" i="3"/>
  <c r="F157" i="3" s="1"/>
  <c r="E30" i="3"/>
  <c r="E31" i="3"/>
  <c r="E60" i="3" s="1"/>
  <c r="D18" i="3"/>
  <c r="D19" i="3"/>
  <c r="F31" i="3"/>
  <c r="F60" i="3" s="1"/>
  <c r="F30" i="3"/>
  <c r="E19" i="3"/>
  <c r="E18" i="3"/>
  <c r="E157" i="3" s="1"/>
  <c r="B30" i="1"/>
  <c r="B47" i="1" s="1"/>
  <c r="B31" i="1"/>
  <c r="E31" i="1"/>
  <c r="E30" i="1"/>
  <c r="B19" i="1"/>
  <c r="B18" i="1"/>
  <c r="B41" i="1" s="1"/>
  <c r="F19" i="1"/>
  <c r="F18" i="1"/>
  <c r="I18" i="1"/>
  <c r="I19" i="1"/>
  <c r="C30" i="1"/>
  <c r="C31" i="1"/>
  <c r="H18" i="1"/>
  <c r="H19" i="1"/>
  <c r="C19" i="1"/>
  <c r="C18" i="1"/>
  <c r="G18" i="1"/>
  <c r="G19" i="1"/>
  <c r="H31" i="1"/>
  <c r="H30" i="1"/>
  <c r="F30" i="1"/>
  <c r="F31" i="1"/>
  <c r="I31" i="1"/>
  <c r="C75" i="1" s="1"/>
  <c r="B88" i="2" s="1"/>
  <c r="I30" i="1"/>
  <c r="G30" i="1"/>
  <c r="G31" i="1"/>
  <c r="K33" i="1"/>
  <c r="B81" i="1" s="1"/>
  <c r="D19" i="1"/>
  <c r="D18" i="1"/>
  <c r="D31" i="1"/>
  <c r="D30" i="1"/>
  <c r="K21" i="1"/>
  <c r="E18" i="1"/>
  <c r="E19" i="1"/>
  <c r="C44" i="2"/>
  <c r="H104" i="3" l="1"/>
  <c r="D172" i="3"/>
  <c r="E47" i="3"/>
  <c r="E171" i="3"/>
  <c r="D47" i="3"/>
  <c r="D171" i="3"/>
  <c r="I55" i="3"/>
  <c r="I158" i="3"/>
  <c r="C55" i="3"/>
  <c r="C158" i="3"/>
  <c r="G55" i="3"/>
  <c r="G158" i="3"/>
  <c r="B172" i="3"/>
  <c r="G172" i="3"/>
  <c r="E172" i="3"/>
  <c r="F32" i="3"/>
  <c r="F34" i="3" s="1"/>
  <c r="F171" i="3"/>
  <c r="C172" i="3"/>
  <c r="D55" i="3"/>
  <c r="D158" i="3"/>
  <c r="C41" i="3"/>
  <c r="C157" i="3"/>
  <c r="I172" i="3"/>
  <c r="I20" i="3"/>
  <c r="I22" i="3" s="1"/>
  <c r="I157" i="3"/>
  <c r="E55" i="3"/>
  <c r="E158" i="3"/>
  <c r="D41" i="3"/>
  <c r="D157" i="3"/>
  <c r="F55" i="3"/>
  <c r="F158" i="3"/>
  <c r="B47" i="3"/>
  <c r="B171" i="3"/>
  <c r="C74" i="3"/>
  <c r="B132" i="2" s="1"/>
  <c r="B136" i="2" s="1"/>
  <c r="B137" i="2" s="1"/>
  <c r="I171" i="3"/>
  <c r="C47" i="3"/>
  <c r="C171" i="3"/>
  <c r="B41" i="3"/>
  <c r="B157" i="3"/>
  <c r="H55" i="3"/>
  <c r="H158" i="3"/>
  <c r="I81" i="3"/>
  <c r="I82" i="3" s="1"/>
  <c r="I104" i="3" s="1"/>
  <c r="G81" i="3"/>
  <c r="G82" i="3" s="1"/>
  <c r="G104" i="3" s="1"/>
  <c r="F81" i="3"/>
  <c r="F82" i="3" s="1"/>
  <c r="F104" i="3" s="1"/>
  <c r="B82" i="3"/>
  <c r="B104" i="3" s="1"/>
  <c r="E81" i="3"/>
  <c r="E82" i="3" s="1"/>
  <c r="E104" i="3" s="1"/>
  <c r="C81" i="3"/>
  <c r="C82" i="3" s="1"/>
  <c r="C104" i="3" s="1"/>
  <c r="D81" i="3"/>
  <c r="D82" i="3" s="1"/>
  <c r="D104" i="3" s="1"/>
  <c r="H81" i="3"/>
  <c r="H82" i="3" s="1"/>
  <c r="H172" i="3"/>
  <c r="B77" i="3"/>
  <c r="C71" i="3"/>
  <c r="C72" i="3" s="1"/>
  <c r="C87" i="3" s="1"/>
  <c r="E71" i="3"/>
  <c r="E72" i="3" s="1"/>
  <c r="E87" i="3" s="1"/>
  <c r="H71" i="3"/>
  <c r="H72" i="3" s="1"/>
  <c r="H87" i="3" s="1"/>
  <c r="F71" i="3"/>
  <c r="F72" i="3" s="1"/>
  <c r="F87" i="3" s="1"/>
  <c r="D71" i="3"/>
  <c r="D72" i="3" s="1"/>
  <c r="D87" i="3" s="1"/>
  <c r="B71" i="3"/>
  <c r="B72" i="3" s="1"/>
  <c r="B87" i="3" s="1"/>
  <c r="G71" i="3"/>
  <c r="G72" i="3" s="1"/>
  <c r="G87" i="3" s="1"/>
  <c r="I71" i="3"/>
  <c r="I72" i="3" s="1"/>
  <c r="I87" i="3" s="1"/>
  <c r="K19" i="3"/>
  <c r="B68" i="3" s="1"/>
  <c r="B55" i="3"/>
  <c r="H20" i="3"/>
  <c r="H22" i="3" s="1"/>
  <c r="F20" i="3"/>
  <c r="F22" i="3" s="1"/>
  <c r="E20" i="3"/>
  <c r="E41" i="3"/>
  <c r="E32" i="3"/>
  <c r="K31" i="3"/>
  <c r="B78" i="3" s="1"/>
  <c r="C20" i="3"/>
  <c r="H32" i="3"/>
  <c r="H34" i="3" s="1"/>
  <c r="G32" i="3"/>
  <c r="G34" i="3" s="1"/>
  <c r="G20" i="3"/>
  <c r="G22" i="3" s="1"/>
  <c r="D32" i="3"/>
  <c r="D20" i="3"/>
  <c r="K30" i="3"/>
  <c r="B32" i="3"/>
  <c r="B46" i="3" s="1"/>
  <c r="B48" i="3" s="1"/>
  <c r="I32" i="3"/>
  <c r="I34" i="3" s="1"/>
  <c r="C32" i="3"/>
  <c r="K18" i="3"/>
  <c r="B67" i="3" s="1"/>
  <c r="B20" i="3"/>
  <c r="B40" i="3" s="1"/>
  <c r="B42" i="3" s="1"/>
  <c r="B55" i="1"/>
  <c r="B71" i="1"/>
  <c r="B72" i="1" s="1"/>
  <c r="D71" i="1"/>
  <c r="D72" i="1" s="1"/>
  <c r="H71" i="1"/>
  <c r="F71" i="1"/>
  <c r="F72" i="1" s="1"/>
  <c r="C71" i="1"/>
  <c r="C72" i="1" s="1"/>
  <c r="E71" i="1"/>
  <c r="E72" i="1" s="1"/>
  <c r="G71" i="1"/>
  <c r="G72" i="1" s="1"/>
  <c r="I71" i="1"/>
  <c r="D20" i="1"/>
  <c r="D32" i="1"/>
  <c r="D34" i="1" s="1"/>
  <c r="E20" i="1"/>
  <c r="E22" i="1" s="1"/>
  <c r="H20" i="1"/>
  <c r="H22" i="1" s="1"/>
  <c r="H32" i="1"/>
  <c r="H34" i="1" s="1"/>
  <c r="G32" i="1"/>
  <c r="G34" i="1" s="1"/>
  <c r="F20" i="1"/>
  <c r="F22" i="1" s="1"/>
  <c r="I20" i="1"/>
  <c r="I22" i="1" s="1"/>
  <c r="B20" i="1"/>
  <c r="B40" i="1" s="1"/>
  <c r="K18" i="1"/>
  <c r="B67" i="1" s="1"/>
  <c r="B69" i="1" s="1"/>
  <c r="B84" i="1" s="1"/>
  <c r="I32" i="1"/>
  <c r="I34" i="1" s="1"/>
  <c r="C74" i="1"/>
  <c r="B87" i="2" s="1"/>
  <c r="C32" i="1"/>
  <c r="C34" i="1" s="1"/>
  <c r="K19" i="1"/>
  <c r="B68" i="1" s="1"/>
  <c r="B70" i="1" s="1"/>
  <c r="B32" i="1"/>
  <c r="K30" i="1"/>
  <c r="F32" i="1"/>
  <c r="F34" i="1" s="1"/>
  <c r="G20" i="1"/>
  <c r="G22" i="1" s="1"/>
  <c r="C20" i="1"/>
  <c r="K31" i="1"/>
  <c r="B78" i="1" s="1"/>
  <c r="E32" i="1"/>
  <c r="E34" i="1" s="1"/>
  <c r="C45" i="2"/>
  <c r="D44" i="2"/>
  <c r="B120" i="1"/>
  <c r="C31" i="2"/>
  <c r="D31" i="2"/>
  <c r="E31" i="2"/>
  <c r="F31" i="2"/>
  <c r="G31" i="2"/>
  <c r="H31" i="2"/>
  <c r="I31" i="2"/>
  <c r="B32" i="2"/>
  <c r="C32" i="2"/>
  <c r="D32" i="2"/>
  <c r="E32" i="2"/>
  <c r="F32" i="2"/>
  <c r="G32" i="2"/>
  <c r="H32" i="2"/>
  <c r="I32" i="2"/>
  <c r="B33" i="2"/>
  <c r="C33" i="2"/>
  <c r="D33" i="2"/>
  <c r="E33" i="2"/>
  <c r="F33" i="2"/>
  <c r="G33" i="2"/>
  <c r="H33" i="2"/>
  <c r="I33" i="2"/>
  <c r="C96" i="3" l="1"/>
  <c r="C97" i="3"/>
  <c r="C152" i="3" s="1"/>
  <c r="D113" i="3"/>
  <c r="D114" i="3"/>
  <c r="D167" i="3" s="1"/>
  <c r="F113" i="3"/>
  <c r="F114" i="3"/>
  <c r="F167" i="3" s="1"/>
  <c r="I97" i="3"/>
  <c r="I152" i="3" s="1"/>
  <c r="I96" i="3"/>
  <c r="C113" i="3"/>
  <c r="C114" i="3"/>
  <c r="C167" i="3" s="1"/>
  <c r="G96" i="3"/>
  <c r="G97" i="3"/>
  <c r="G152" i="3" s="1"/>
  <c r="H96" i="3"/>
  <c r="H97" i="3"/>
  <c r="H152" i="3" s="1"/>
  <c r="E113" i="3"/>
  <c r="E114" i="3"/>
  <c r="E167" i="3" s="1"/>
  <c r="I114" i="3"/>
  <c r="I167" i="3" s="1"/>
  <c r="I113" i="3"/>
  <c r="B96" i="3"/>
  <c r="B97" i="3"/>
  <c r="B152" i="3" s="1"/>
  <c r="E96" i="3"/>
  <c r="E97" i="3"/>
  <c r="E152" i="3" s="1"/>
  <c r="B114" i="3"/>
  <c r="B167" i="3" s="1"/>
  <c r="B113" i="3"/>
  <c r="I78" i="3"/>
  <c r="I80" i="3" s="1"/>
  <c r="I102" i="3" s="1"/>
  <c r="I112" i="3" s="1"/>
  <c r="E78" i="3"/>
  <c r="E80" i="3" s="1"/>
  <c r="C78" i="3"/>
  <c r="C80" i="3" s="1"/>
  <c r="D78" i="3"/>
  <c r="D80" i="3" s="1"/>
  <c r="B80" i="3"/>
  <c r="B102" i="3" s="1"/>
  <c r="B112" i="3" s="1"/>
  <c r="H78" i="3"/>
  <c r="H80" i="3" s="1"/>
  <c r="H102" i="3" s="1"/>
  <c r="H112" i="3" s="1"/>
  <c r="F78" i="3"/>
  <c r="F80" i="3" s="1"/>
  <c r="F102" i="3" s="1"/>
  <c r="F112" i="3" s="1"/>
  <c r="G78" i="3"/>
  <c r="G80" i="3" s="1"/>
  <c r="G102" i="3" s="1"/>
  <c r="G112" i="3" s="1"/>
  <c r="G113" i="3"/>
  <c r="G114" i="3"/>
  <c r="G167" i="3" s="1"/>
  <c r="F96" i="3"/>
  <c r="F97" i="3"/>
  <c r="F152" i="3" s="1"/>
  <c r="H113" i="3"/>
  <c r="H114" i="3"/>
  <c r="H167" i="3" s="1"/>
  <c r="D96" i="3"/>
  <c r="D97" i="3"/>
  <c r="D152" i="3" s="1"/>
  <c r="I77" i="3"/>
  <c r="I79" i="3" s="1"/>
  <c r="I101" i="3" s="1"/>
  <c r="C77" i="3"/>
  <c r="C79" i="3" s="1"/>
  <c r="C101" i="3" s="1"/>
  <c r="G77" i="3"/>
  <c r="G79" i="3" s="1"/>
  <c r="G101" i="3" s="1"/>
  <c r="D77" i="3"/>
  <c r="D79" i="3" s="1"/>
  <c r="D101" i="3" s="1"/>
  <c r="B79" i="3"/>
  <c r="B101" i="3" s="1"/>
  <c r="F77" i="3"/>
  <c r="F79" i="3" s="1"/>
  <c r="F101" i="3" s="1"/>
  <c r="H77" i="3"/>
  <c r="H79" i="3" s="1"/>
  <c r="H101" i="3" s="1"/>
  <c r="E77" i="3"/>
  <c r="E79" i="3" s="1"/>
  <c r="E101" i="3" s="1"/>
  <c r="E68" i="3"/>
  <c r="E70" i="3" s="1"/>
  <c r="C68" i="3"/>
  <c r="C70" i="3" s="1"/>
  <c r="D68" i="3"/>
  <c r="D70" i="3" s="1"/>
  <c r="G68" i="3"/>
  <c r="B70" i="3"/>
  <c r="B85" i="3" s="1"/>
  <c r="B95" i="3" s="1"/>
  <c r="F68" i="3"/>
  <c r="F70" i="3" s="1"/>
  <c r="F85" i="3" s="1"/>
  <c r="F95" i="3" s="1"/>
  <c r="E67" i="3"/>
  <c r="E69" i="3" s="1"/>
  <c r="E84" i="3" s="1"/>
  <c r="B69" i="3"/>
  <c r="B84" i="3" s="1"/>
  <c r="F67" i="3"/>
  <c r="F69" i="3" s="1"/>
  <c r="F84" i="3" s="1"/>
  <c r="C67" i="3"/>
  <c r="C69" i="3" s="1"/>
  <c r="C84" i="3" s="1"/>
  <c r="G67" i="3"/>
  <c r="D67" i="3"/>
  <c r="D69" i="3" s="1"/>
  <c r="D84" i="3" s="1"/>
  <c r="E34" i="3"/>
  <c r="E46" i="3"/>
  <c r="E48" i="3" s="1"/>
  <c r="C34" i="3"/>
  <c r="C46" i="3"/>
  <c r="C48" i="3" s="1"/>
  <c r="D22" i="3"/>
  <c r="D40" i="3"/>
  <c r="D42" i="3" s="1"/>
  <c r="D34" i="3"/>
  <c r="D46" i="3"/>
  <c r="D48" i="3" s="1"/>
  <c r="C22" i="3"/>
  <c r="C40" i="3"/>
  <c r="C42" i="3" s="1"/>
  <c r="E22" i="3"/>
  <c r="E40" i="3"/>
  <c r="E42" i="3" s="1"/>
  <c r="K20" i="3"/>
  <c r="B22" i="3"/>
  <c r="K32" i="3"/>
  <c r="B34" i="3"/>
  <c r="C22" i="1"/>
  <c r="C40" i="1"/>
  <c r="D22" i="1"/>
  <c r="D40" i="1"/>
  <c r="B91" i="2"/>
  <c r="B92" i="2" s="1"/>
  <c r="B181" i="2"/>
  <c r="B182" i="2" s="1"/>
  <c r="B77" i="1"/>
  <c r="C67" i="1"/>
  <c r="C69" i="1" s="1"/>
  <c r="F67" i="1"/>
  <c r="F69" i="1" s="1"/>
  <c r="E67" i="1"/>
  <c r="E69" i="1" s="1"/>
  <c r="G67" i="1"/>
  <c r="G69" i="1" s="1"/>
  <c r="D67" i="1"/>
  <c r="D69" i="1" s="1"/>
  <c r="B22" i="1"/>
  <c r="K20" i="1"/>
  <c r="K32" i="1"/>
  <c r="B34" i="1"/>
  <c r="K34" i="1" s="1"/>
  <c r="E36" i="2"/>
  <c r="G36" i="2"/>
  <c r="C35" i="2"/>
  <c r="I35" i="2"/>
  <c r="E35" i="2"/>
  <c r="B36" i="2"/>
  <c r="H36" i="2"/>
  <c r="D36" i="2"/>
  <c r="C36" i="2"/>
  <c r="D35" i="2"/>
  <c r="J32" i="2"/>
  <c r="J33" i="2"/>
  <c r="F36" i="2"/>
  <c r="F35" i="2"/>
  <c r="I36" i="2"/>
  <c r="G35" i="2"/>
  <c r="B35" i="2"/>
  <c r="H35" i="2"/>
  <c r="A170" i="2"/>
  <c r="A169" i="2"/>
  <c r="A168" i="2"/>
  <c r="A80" i="2"/>
  <c r="D102" i="3" l="1"/>
  <c r="D112" i="3" s="1"/>
  <c r="I151" i="3"/>
  <c r="I150" i="3"/>
  <c r="D85" i="3"/>
  <c r="D95" i="3" s="1"/>
  <c r="D99" i="3" s="1"/>
  <c r="D151" i="3"/>
  <c r="D150" i="3"/>
  <c r="F150" i="3"/>
  <c r="F151" i="3"/>
  <c r="F166" i="3" s="1"/>
  <c r="F116" i="3"/>
  <c r="F165" i="3"/>
  <c r="F169" i="3" s="1"/>
  <c r="C102" i="3"/>
  <c r="C112" i="3" s="1"/>
  <c r="B150" i="3"/>
  <c r="B151" i="3"/>
  <c r="G151" i="3"/>
  <c r="G150" i="3"/>
  <c r="D166" i="3"/>
  <c r="G116" i="3"/>
  <c r="G165" i="3"/>
  <c r="G169" i="3" s="1"/>
  <c r="C85" i="3"/>
  <c r="C95" i="3" s="1"/>
  <c r="C99" i="3" s="1"/>
  <c r="H165" i="3"/>
  <c r="H169" i="3" s="1"/>
  <c r="H116" i="3"/>
  <c r="E102" i="3"/>
  <c r="E112" i="3" s="1"/>
  <c r="I166" i="3"/>
  <c r="B166" i="3"/>
  <c r="E85" i="3"/>
  <c r="E95" i="3" s="1"/>
  <c r="G166" i="3"/>
  <c r="B116" i="3"/>
  <c r="B165" i="3"/>
  <c r="B169" i="3" s="1"/>
  <c r="I165" i="3"/>
  <c r="I169" i="3" s="1"/>
  <c r="I116" i="3"/>
  <c r="E151" i="3"/>
  <c r="E166" i="3" s="1"/>
  <c r="E150" i="3"/>
  <c r="H151" i="3"/>
  <c r="H166" i="3" s="1"/>
  <c r="H150" i="3"/>
  <c r="C151" i="3"/>
  <c r="C166" i="3" s="1"/>
  <c r="C150" i="3"/>
  <c r="E103" i="3"/>
  <c r="E109" i="3" s="1"/>
  <c r="E110" i="3"/>
  <c r="D103" i="3"/>
  <c r="D109" i="3" s="1"/>
  <c r="D110" i="3"/>
  <c r="D111" i="3" s="1"/>
  <c r="D115" i="3" s="1"/>
  <c r="H103" i="3"/>
  <c r="H109" i="3" s="1"/>
  <c r="H110" i="3"/>
  <c r="G103" i="3"/>
  <c r="G109" i="3" s="1"/>
  <c r="G110" i="3"/>
  <c r="G111" i="3" s="1"/>
  <c r="G115" i="3" s="1"/>
  <c r="F103" i="3"/>
  <c r="F109" i="3" s="1"/>
  <c r="F110" i="3"/>
  <c r="C103" i="3"/>
  <c r="C109" i="3" s="1"/>
  <c r="C110" i="3"/>
  <c r="C111" i="3" s="1"/>
  <c r="C115" i="3" s="1"/>
  <c r="B103" i="3"/>
  <c r="B109" i="3" s="1"/>
  <c r="B110" i="3"/>
  <c r="I103" i="3"/>
  <c r="I109" i="3" s="1"/>
  <c r="I110" i="3"/>
  <c r="I111" i="3" s="1"/>
  <c r="I115" i="3" s="1"/>
  <c r="F99" i="3"/>
  <c r="F149" i="3"/>
  <c r="F155" i="3" s="1"/>
  <c r="B149" i="3"/>
  <c r="B155" i="3" s="1"/>
  <c r="B99" i="3"/>
  <c r="E149" i="3"/>
  <c r="E155" i="3" s="1"/>
  <c r="E99" i="3"/>
  <c r="E86" i="3"/>
  <c r="E92" i="3" s="1"/>
  <c r="E93" i="3"/>
  <c r="D93" i="3"/>
  <c r="C93" i="3"/>
  <c r="B86" i="3"/>
  <c r="B92" i="3" s="1"/>
  <c r="B93" i="3"/>
  <c r="B94" i="3" s="1"/>
  <c r="B98" i="3" s="1"/>
  <c r="F86" i="3"/>
  <c r="F92" i="3" s="1"/>
  <c r="F93" i="3"/>
  <c r="H67" i="3"/>
  <c r="G69" i="3"/>
  <c r="G84" i="3" s="1"/>
  <c r="K34" i="3"/>
  <c r="G70" i="3"/>
  <c r="G85" i="3" s="1"/>
  <c r="G95" i="3" s="1"/>
  <c r="H68" i="3"/>
  <c r="K22" i="3"/>
  <c r="K22" i="1"/>
  <c r="G68" i="1"/>
  <c r="G70" i="1" s="1"/>
  <c r="E68" i="1"/>
  <c r="E70" i="1" s="1"/>
  <c r="D68" i="1"/>
  <c r="D70" i="1" s="1"/>
  <c r="F68" i="1"/>
  <c r="F70" i="1" s="1"/>
  <c r="C68" i="1"/>
  <c r="C70" i="1" s="1"/>
  <c r="F94" i="3" l="1"/>
  <c r="F98" i="3" s="1"/>
  <c r="C86" i="3"/>
  <c r="C92" i="3" s="1"/>
  <c r="E116" i="3"/>
  <c r="E165" i="3"/>
  <c r="E169" i="3" s="1"/>
  <c r="C116" i="3"/>
  <c r="C165" i="3"/>
  <c r="C169" i="3" s="1"/>
  <c r="C94" i="3"/>
  <c r="C98" i="3" s="1"/>
  <c r="C149" i="3"/>
  <c r="C155" i="3" s="1"/>
  <c r="D149" i="3"/>
  <c r="D155" i="3" s="1"/>
  <c r="D86" i="3"/>
  <c r="D92" i="3" s="1"/>
  <c r="D94" i="3" s="1"/>
  <c r="D98" i="3" s="1"/>
  <c r="D116" i="3"/>
  <c r="D165" i="3"/>
  <c r="D169" i="3" s="1"/>
  <c r="B111" i="3"/>
  <c r="B115" i="3" s="1"/>
  <c r="F111" i="3"/>
  <c r="F115" i="3" s="1"/>
  <c r="H111" i="3"/>
  <c r="H115" i="3" s="1"/>
  <c r="E111" i="3"/>
  <c r="E115" i="3" s="1"/>
  <c r="G99" i="3"/>
  <c r="G149" i="3"/>
  <c r="G155" i="3" s="1"/>
  <c r="E94" i="3"/>
  <c r="E98" i="3" s="1"/>
  <c r="B148" i="3"/>
  <c r="B147" i="3"/>
  <c r="B153" i="3" s="1"/>
  <c r="D148" i="3"/>
  <c r="D147" i="3"/>
  <c r="D153" i="3" s="1"/>
  <c r="G86" i="3"/>
  <c r="G92" i="3" s="1"/>
  <c r="G93" i="3"/>
  <c r="F148" i="3"/>
  <c r="F147" i="3"/>
  <c r="F153" i="3" s="1"/>
  <c r="C148" i="3"/>
  <c r="C147" i="3"/>
  <c r="C153" i="3" s="1"/>
  <c r="E148" i="3"/>
  <c r="E147" i="3"/>
  <c r="E153" i="3" s="1"/>
  <c r="I68" i="3"/>
  <c r="I70" i="3" s="1"/>
  <c r="I85" i="3" s="1"/>
  <c r="I95" i="3" s="1"/>
  <c r="H70" i="3"/>
  <c r="H85" i="3" s="1"/>
  <c r="H95" i="3" s="1"/>
  <c r="H69" i="3"/>
  <c r="H84" i="3" s="1"/>
  <c r="I67" i="3"/>
  <c r="I69" i="3" s="1"/>
  <c r="I84" i="3" s="1"/>
  <c r="I162" i="1"/>
  <c r="H162" i="1"/>
  <c r="G162" i="1"/>
  <c r="F162" i="1"/>
  <c r="E162" i="1"/>
  <c r="D162" i="1"/>
  <c r="C162" i="1"/>
  <c r="I143" i="1"/>
  <c r="H143" i="1"/>
  <c r="G143" i="1"/>
  <c r="F143" i="1"/>
  <c r="E143" i="1"/>
  <c r="D143" i="1"/>
  <c r="C143" i="1"/>
  <c r="B143" i="1"/>
  <c r="I140" i="1"/>
  <c r="I141" i="1" s="1"/>
  <c r="H140" i="1"/>
  <c r="H141" i="1" s="1"/>
  <c r="G140" i="1"/>
  <c r="G141" i="1" s="1"/>
  <c r="F140" i="1"/>
  <c r="F141" i="1" s="1"/>
  <c r="E140" i="1"/>
  <c r="E141" i="1" s="1"/>
  <c r="D140" i="1"/>
  <c r="D141" i="1" s="1"/>
  <c r="C140" i="1"/>
  <c r="C141" i="1" s="1"/>
  <c r="B141" i="1"/>
  <c r="B144" i="1" s="1"/>
  <c r="B145" i="1" s="1"/>
  <c r="I137" i="1"/>
  <c r="H137" i="1"/>
  <c r="G137" i="1"/>
  <c r="F137" i="1"/>
  <c r="E137" i="1"/>
  <c r="D137" i="1"/>
  <c r="C137" i="1"/>
  <c r="B137" i="1"/>
  <c r="I134" i="1"/>
  <c r="I135" i="1" s="1"/>
  <c r="H134" i="1"/>
  <c r="H135" i="1" s="1"/>
  <c r="G134" i="1"/>
  <c r="G135" i="1" s="1"/>
  <c r="F134" i="1"/>
  <c r="F135" i="1" s="1"/>
  <c r="E134" i="1"/>
  <c r="E135" i="1" s="1"/>
  <c r="D134" i="1"/>
  <c r="D135" i="1" s="1"/>
  <c r="C134" i="1"/>
  <c r="C135" i="1" s="1"/>
  <c r="B134" i="1"/>
  <c r="B135" i="1" s="1"/>
  <c r="B133" i="1"/>
  <c r="I132" i="1"/>
  <c r="E132" i="1"/>
  <c r="E133" i="1" s="1"/>
  <c r="D132" i="1"/>
  <c r="D133" i="1" s="1"/>
  <c r="C132" i="1"/>
  <c r="B131" i="1"/>
  <c r="F129" i="1"/>
  <c r="B129" i="1"/>
  <c r="I125" i="1"/>
  <c r="H125" i="1"/>
  <c r="G125" i="1"/>
  <c r="E125" i="1"/>
  <c r="D125" i="1"/>
  <c r="C125" i="1"/>
  <c r="B124" i="1"/>
  <c r="I123" i="1"/>
  <c r="H123" i="1"/>
  <c r="G123" i="1"/>
  <c r="F123" i="1"/>
  <c r="E123" i="1"/>
  <c r="D123" i="1"/>
  <c r="C123" i="1"/>
  <c r="B123" i="1"/>
  <c r="F121" i="1"/>
  <c r="B121" i="1"/>
  <c r="I121" i="1"/>
  <c r="H121" i="1"/>
  <c r="G121" i="1"/>
  <c r="E121" i="1"/>
  <c r="D121" i="1"/>
  <c r="C121" i="1"/>
  <c r="I119" i="1"/>
  <c r="H119" i="1"/>
  <c r="G119" i="1"/>
  <c r="F119" i="1"/>
  <c r="E119" i="1"/>
  <c r="D119" i="1"/>
  <c r="C119" i="1"/>
  <c r="B119" i="1"/>
  <c r="F108" i="1"/>
  <c r="I107" i="1"/>
  <c r="H107" i="1"/>
  <c r="G107" i="1"/>
  <c r="F107" i="1"/>
  <c r="E107" i="1"/>
  <c r="D107" i="1"/>
  <c r="C107" i="1"/>
  <c r="B106" i="1"/>
  <c r="I105" i="1"/>
  <c r="H105" i="1"/>
  <c r="G105" i="1"/>
  <c r="F105" i="1"/>
  <c r="E105" i="1"/>
  <c r="D105" i="1"/>
  <c r="C105" i="1"/>
  <c r="I90" i="1"/>
  <c r="H90" i="1"/>
  <c r="G90" i="1"/>
  <c r="F90" i="1"/>
  <c r="E90" i="1"/>
  <c r="D90" i="1"/>
  <c r="C90" i="1"/>
  <c r="B89" i="1"/>
  <c r="H89" i="1" s="1"/>
  <c r="I88" i="1"/>
  <c r="H88" i="1"/>
  <c r="G88" i="1"/>
  <c r="F88" i="1"/>
  <c r="E88" i="1"/>
  <c r="D88" i="1"/>
  <c r="C88" i="1"/>
  <c r="I61" i="1"/>
  <c r="H61" i="1"/>
  <c r="G61" i="1"/>
  <c r="F61" i="1"/>
  <c r="E61" i="1"/>
  <c r="D61" i="1"/>
  <c r="C61" i="1"/>
  <c r="B61" i="1"/>
  <c r="I59" i="1"/>
  <c r="H59" i="1"/>
  <c r="G59" i="1"/>
  <c r="F59" i="1"/>
  <c r="E59" i="1"/>
  <c r="D59" i="1"/>
  <c r="C59" i="1"/>
  <c r="B59" i="1"/>
  <c r="B60" i="1" s="1"/>
  <c r="I52" i="1"/>
  <c r="H52" i="1"/>
  <c r="G52" i="1"/>
  <c r="I51" i="1"/>
  <c r="H51" i="1"/>
  <c r="G51" i="1"/>
  <c r="F51" i="1"/>
  <c r="E51" i="1"/>
  <c r="D51" i="1"/>
  <c r="C51" i="1"/>
  <c r="E37" i="1"/>
  <c r="D37" i="1"/>
  <c r="C37" i="1"/>
  <c r="I149" i="3" l="1"/>
  <c r="I155" i="3" s="1"/>
  <c r="I99" i="3"/>
  <c r="H149" i="3"/>
  <c r="H155" i="3" s="1"/>
  <c r="H99" i="3"/>
  <c r="G94" i="3"/>
  <c r="G98" i="3" s="1"/>
  <c r="H86" i="3"/>
  <c r="H92" i="3" s="1"/>
  <c r="H93" i="3"/>
  <c r="E154" i="3"/>
  <c r="E156" i="3" s="1"/>
  <c r="E164" i="3"/>
  <c r="E168" i="3" s="1"/>
  <c r="E170" i="3" s="1"/>
  <c r="F154" i="3"/>
  <c r="F164" i="3"/>
  <c r="F168" i="3" s="1"/>
  <c r="F170" i="3" s="1"/>
  <c r="D154" i="3"/>
  <c r="D156" i="3" s="1"/>
  <c r="D164" i="3"/>
  <c r="D168" i="3" s="1"/>
  <c r="D170" i="3" s="1"/>
  <c r="I86" i="3"/>
  <c r="I92" i="3" s="1"/>
  <c r="I93" i="3"/>
  <c r="I94" i="3" s="1"/>
  <c r="I98" i="3" s="1"/>
  <c r="F156" i="3"/>
  <c r="C154" i="3"/>
  <c r="C156" i="3" s="1"/>
  <c r="C164" i="3"/>
  <c r="C168" i="3" s="1"/>
  <c r="C170" i="3" s="1"/>
  <c r="G148" i="3"/>
  <c r="G147" i="3"/>
  <c r="G153" i="3" s="1"/>
  <c r="B154" i="3"/>
  <c r="B156" i="3" s="1"/>
  <c r="B164" i="3"/>
  <c r="B168" i="3" s="1"/>
  <c r="B170" i="3" s="1"/>
  <c r="B138" i="1"/>
  <c r="B139" i="1" s="1"/>
  <c r="F106" i="1"/>
  <c r="D60" i="1"/>
  <c r="E106" i="1"/>
  <c r="E89" i="1"/>
  <c r="H108" i="1"/>
  <c r="G127" i="1"/>
  <c r="G129" i="1" s="1"/>
  <c r="G89" i="1"/>
  <c r="G106" i="1"/>
  <c r="C127" i="1"/>
  <c r="C129" i="1" s="1"/>
  <c r="H127" i="1"/>
  <c r="H129" i="1" s="1"/>
  <c r="I89" i="1"/>
  <c r="I106" i="1"/>
  <c r="D127" i="1"/>
  <c r="D129" i="1" s="1"/>
  <c r="I127" i="1"/>
  <c r="I129" i="1" s="1"/>
  <c r="C89" i="1"/>
  <c r="C106" i="1"/>
  <c r="D108" i="1"/>
  <c r="E127" i="1"/>
  <c r="E129" i="1" s="1"/>
  <c r="I126" i="1"/>
  <c r="I128" i="1" s="1"/>
  <c r="I171" i="1" s="1"/>
  <c r="F126" i="1"/>
  <c r="F128" i="1" s="1"/>
  <c r="F171" i="1" s="1"/>
  <c r="C126" i="1"/>
  <c r="C128" i="1" s="1"/>
  <c r="C171" i="1" s="1"/>
  <c r="G126" i="1"/>
  <c r="G128" i="1" s="1"/>
  <c r="G171" i="1" s="1"/>
  <c r="E126" i="1"/>
  <c r="E128" i="1" s="1"/>
  <c r="E171" i="1" s="1"/>
  <c r="B126" i="1"/>
  <c r="B128" i="1" s="1"/>
  <c r="B171" i="1" s="1"/>
  <c r="D126" i="1"/>
  <c r="D128" i="1" s="1"/>
  <c r="D171" i="1" s="1"/>
  <c r="H126" i="1"/>
  <c r="H128" i="1" s="1"/>
  <c r="H171" i="1" s="1"/>
  <c r="D57" i="1"/>
  <c r="D43" i="1"/>
  <c r="H57" i="1"/>
  <c r="H60" i="1"/>
  <c r="E62" i="1"/>
  <c r="E49" i="1"/>
  <c r="I62" i="1"/>
  <c r="I57" i="1"/>
  <c r="B43" i="1"/>
  <c r="B87" i="1" s="1"/>
  <c r="F57" i="1"/>
  <c r="F87" i="1" s="1"/>
  <c r="F60" i="1"/>
  <c r="C62" i="1"/>
  <c r="C49" i="1"/>
  <c r="C57" i="1"/>
  <c r="C43" i="1"/>
  <c r="G57" i="1"/>
  <c r="G87" i="1" s="1"/>
  <c r="I91" i="1"/>
  <c r="E91" i="1"/>
  <c r="G91" i="1"/>
  <c r="C91" i="1"/>
  <c r="E138" i="1"/>
  <c r="E139" i="1" s="1"/>
  <c r="I138" i="1"/>
  <c r="I139" i="1" s="1"/>
  <c r="E144" i="1"/>
  <c r="E145" i="1" s="1"/>
  <c r="I144" i="1"/>
  <c r="I145" i="1" s="1"/>
  <c r="D91" i="1"/>
  <c r="C138" i="1"/>
  <c r="C139" i="1" s="1"/>
  <c r="G144" i="1"/>
  <c r="G145" i="1" s="1"/>
  <c r="F91" i="1"/>
  <c r="G138" i="1"/>
  <c r="G139" i="1" s="1"/>
  <c r="C144" i="1"/>
  <c r="C145" i="1" s="1"/>
  <c r="H91" i="1"/>
  <c r="G108" i="1"/>
  <c r="C108" i="1"/>
  <c r="I108" i="1"/>
  <c r="E108" i="1"/>
  <c r="F89" i="1"/>
  <c r="D106" i="1"/>
  <c r="H106" i="1"/>
  <c r="F138" i="1"/>
  <c r="F139" i="1" s="1"/>
  <c r="F144" i="1"/>
  <c r="F145" i="1" s="1"/>
  <c r="D89" i="1"/>
  <c r="I133" i="1"/>
  <c r="D138" i="1"/>
  <c r="D139" i="1" s="1"/>
  <c r="H138" i="1"/>
  <c r="H139" i="1" s="1"/>
  <c r="D144" i="1"/>
  <c r="D145" i="1" s="1"/>
  <c r="H144" i="1"/>
  <c r="H145" i="1" s="1"/>
  <c r="F133" i="1"/>
  <c r="G132" i="1"/>
  <c r="C133" i="1"/>
  <c r="H132" i="1"/>
  <c r="I148" i="3" l="1"/>
  <c r="I147" i="3"/>
  <c r="I153" i="3" s="1"/>
  <c r="H148" i="3"/>
  <c r="H147" i="3"/>
  <c r="H153" i="3" s="1"/>
  <c r="H94" i="3"/>
  <c r="H98" i="3" s="1"/>
  <c r="G154" i="3"/>
  <c r="G156" i="3" s="1"/>
  <c r="G164" i="3"/>
  <c r="G168" i="3" s="1"/>
  <c r="G170" i="3" s="1"/>
  <c r="B96" i="1"/>
  <c r="D172" i="1"/>
  <c r="E172" i="1"/>
  <c r="F172" i="1"/>
  <c r="H172" i="1"/>
  <c r="F62" i="1"/>
  <c r="H62" i="1"/>
  <c r="G172" i="1"/>
  <c r="B172" i="1"/>
  <c r="B49" i="1"/>
  <c r="D62" i="1"/>
  <c r="B62" i="1"/>
  <c r="E158" i="1"/>
  <c r="D49" i="1"/>
  <c r="C47" i="1"/>
  <c r="E60" i="1"/>
  <c r="H133" i="1"/>
  <c r="D158" i="1"/>
  <c r="E157" i="1"/>
  <c r="E41" i="1"/>
  <c r="F158" i="1"/>
  <c r="G60" i="1"/>
  <c r="G62" i="1"/>
  <c r="G158" i="1"/>
  <c r="D47" i="1"/>
  <c r="G133" i="1"/>
  <c r="B158" i="1"/>
  <c r="C158" i="1"/>
  <c r="E43" i="1"/>
  <c r="E57" i="1"/>
  <c r="J57" i="1" s="1"/>
  <c r="H158" i="1"/>
  <c r="E55" i="1"/>
  <c r="H154" i="3" l="1"/>
  <c r="H164" i="3"/>
  <c r="H168" i="3" s="1"/>
  <c r="H170" i="3" s="1"/>
  <c r="I154" i="3"/>
  <c r="I156" i="3" s="1"/>
  <c r="I164" i="3"/>
  <c r="I168" i="3" s="1"/>
  <c r="I170" i="3" s="1"/>
  <c r="H156" i="3"/>
  <c r="H170" i="2"/>
  <c r="F81" i="1"/>
  <c r="F82" i="1" s="1"/>
  <c r="F104" i="1" s="1"/>
  <c r="D81" i="1"/>
  <c r="D82" i="1" s="1"/>
  <c r="D104" i="1" s="1"/>
  <c r="E81" i="1"/>
  <c r="E82" i="1" s="1"/>
  <c r="E104" i="1" s="1"/>
  <c r="C81" i="1"/>
  <c r="C82" i="1" s="1"/>
  <c r="C104" i="1" s="1"/>
  <c r="G81" i="1"/>
  <c r="G82" i="1" s="1"/>
  <c r="G104" i="1" s="1"/>
  <c r="H81" i="1"/>
  <c r="H82" i="1" s="1"/>
  <c r="H104" i="1" s="1"/>
  <c r="I81" i="1"/>
  <c r="I82" i="1" s="1"/>
  <c r="I104" i="1" s="1"/>
  <c r="I172" i="1"/>
  <c r="C87" i="1"/>
  <c r="I158" i="1"/>
  <c r="C172" i="1"/>
  <c r="D46" i="1"/>
  <c r="G55" i="1"/>
  <c r="G85" i="1" s="1"/>
  <c r="C55" i="1"/>
  <c r="I60" i="1"/>
  <c r="F157" i="1"/>
  <c r="D157" i="1"/>
  <c r="D41" i="1"/>
  <c r="B157" i="1"/>
  <c r="B82" i="1"/>
  <c r="B104" i="1" s="1"/>
  <c r="B113" i="1" s="1"/>
  <c r="H157" i="1"/>
  <c r="C60" i="1"/>
  <c r="I157" i="1"/>
  <c r="F55" i="1"/>
  <c r="E40" i="1"/>
  <c r="D55" i="1"/>
  <c r="H55" i="1"/>
  <c r="G157" i="1"/>
  <c r="I55" i="1"/>
  <c r="E47" i="1"/>
  <c r="C157" i="1"/>
  <c r="C41" i="1"/>
  <c r="I170" i="2" l="1"/>
  <c r="H178" i="2"/>
  <c r="J55" i="1"/>
  <c r="F85" i="1"/>
  <c r="D170" i="2"/>
  <c r="B46" i="1"/>
  <c r="B48" i="1" s="1"/>
  <c r="D87" i="1"/>
  <c r="D97" i="1" s="1"/>
  <c r="D152" i="1" s="1"/>
  <c r="C46" i="1"/>
  <c r="C48" i="1" s="1"/>
  <c r="G77" i="1"/>
  <c r="G79" i="1" s="1"/>
  <c r="E170" i="2"/>
  <c r="F170" i="2"/>
  <c r="F114" i="1"/>
  <c r="F167" i="1" s="1"/>
  <c r="F113" i="1"/>
  <c r="C114" i="1"/>
  <c r="C167" i="1" s="1"/>
  <c r="C113" i="1"/>
  <c r="D48" i="1"/>
  <c r="G114" i="1"/>
  <c r="G167" i="1" s="1"/>
  <c r="G113" i="1"/>
  <c r="E46" i="1"/>
  <c r="H114" i="1"/>
  <c r="H167" i="1" s="1"/>
  <c r="H113" i="1"/>
  <c r="B114" i="1"/>
  <c r="B167" i="1" s="1"/>
  <c r="E114" i="1"/>
  <c r="E167" i="1" s="1"/>
  <c r="E113" i="1"/>
  <c r="E42" i="1"/>
  <c r="E85" i="1" s="1"/>
  <c r="D114" i="1"/>
  <c r="D167" i="1" s="1"/>
  <c r="D113" i="1"/>
  <c r="I114" i="1"/>
  <c r="I167" i="1" s="1"/>
  <c r="I113" i="1"/>
  <c r="C97" i="1"/>
  <c r="C152" i="1" s="1"/>
  <c r="C96" i="1"/>
  <c r="J168" i="2" l="1"/>
  <c r="H168" i="2"/>
  <c r="I178" i="2"/>
  <c r="G168" i="2"/>
  <c r="G101" i="1"/>
  <c r="G110" i="1" s="1"/>
  <c r="I168" i="2"/>
  <c r="C133" i="2"/>
  <c r="C125" i="2"/>
  <c r="D133" i="2"/>
  <c r="D125" i="2"/>
  <c r="G178" i="2"/>
  <c r="G170" i="2"/>
  <c r="C178" i="2"/>
  <c r="C170" i="2"/>
  <c r="D96" i="1"/>
  <c r="D151" i="1" s="1"/>
  <c r="D166" i="1" s="1"/>
  <c r="E87" i="1"/>
  <c r="C84" i="1"/>
  <c r="C93" i="1" s="1"/>
  <c r="H77" i="1"/>
  <c r="H79" i="1" s="1"/>
  <c r="E77" i="1"/>
  <c r="E79" i="1" s="1"/>
  <c r="D77" i="1"/>
  <c r="D79" i="1" s="1"/>
  <c r="C77" i="1"/>
  <c r="C79" i="1" s="1"/>
  <c r="B79" i="1"/>
  <c r="I77" i="1"/>
  <c r="I79" i="1" s="1"/>
  <c r="F77" i="1"/>
  <c r="F79" i="1" s="1"/>
  <c r="I44" i="2"/>
  <c r="E44" i="2"/>
  <c r="H44" i="2"/>
  <c r="G44" i="2"/>
  <c r="J41" i="2"/>
  <c r="B44" i="2"/>
  <c r="E178" i="2"/>
  <c r="D178" i="2"/>
  <c r="F178" i="2"/>
  <c r="F168" i="2"/>
  <c r="G169" i="2"/>
  <c r="H169" i="2"/>
  <c r="C169" i="2"/>
  <c r="G78" i="1"/>
  <c r="G80" i="1" s="1"/>
  <c r="C78" i="1"/>
  <c r="C80" i="1" s="1"/>
  <c r="I78" i="1"/>
  <c r="I80" i="1" s="1"/>
  <c r="E78" i="1"/>
  <c r="E80" i="1" s="1"/>
  <c r="F78" i="1"/>
  <c r="F80" i="1" s="1"/>
  <c r="D78" i="1"/>
  <c r="D80" i="1" s="1"/>
  <c r="B80" i="1"/>
  <c r="H78" i="1"/>
  <c r="H80" i="1" s="1"/>
  <c r="D42" i="1"/>
  <c r="D85" i="1" s="1"/>
  <c r="C151" i="1"/>
  <c r="C166" i="1" s="1"/>
  <c r="C150" i="1"/>
  <c r="E48" i="1"/>
  <c r="B42" i="1"/>
  <c r="B85" i="1" s="1"/>
  <c r="B95" i="1" s="1"/>
  <c r="B149" i="1" s="1"/>
  <c r="B97" i="1"/>
  <c r="B152" i="1" s="1"/>
  <c r="C42" i="1"/>
  <c r="C85" i="1" s="1"/>
  <c r="I177" i="2" l="1"/>
  <c r="G177" i="2"/>
  <c r="J177" i="2"/>
  <c r="H177" i="2"/>
  <c r="J170" i="2"/>
  <c r="J173" i="2" s="1"/>
  <c r="J178" i="2"/>
  <c r="J180" i="2" s="1"/>
  <c r="F102" i="1"/>
  <c r="F112" i="1" s="1"/>
  <c r="F165" i="1" s="1"/>
  <c r="G102" i="1"/>
  <c r="G112" i="1" s="1"/>
  <c r="G165" i="1" s="1"/>
  <c r="E102" i="1"/>
  <c r="E112" i="1" s="1"/>
  <c r="E165" i="1" s="1"/>
  <c r="I102" i="1"/>
  <c r="I112" i="1" s="1"/>
  <c r="I165" i="1" s="1"/>
  <c r="H102" i="1"/>
  <c r="H112" i="1" s="1"/>
  <c r="H165" i="1" s="1"/>
  <c r="B102" i="1"/>
  <c r="B112" i="1" s="1"/>
  <c r="B165" i="1" s="1"/>
  <c r="D102" i="1"/>
  <c r="D112" i="1" s="1"/>
  <c r="D165" i="1" s="1"/>
  <c r="C102" i="1"/>
  <c r="C112" i="1" s="1"/>
  <c r="C165" i="1" s="1"/>
  <c r="C101" i="1"/>
  <c r="C110" i="1" s="1"/>
  <c r="F101" i="1"/>
  <c r="F110" i="1" s="1"/>
  <c r="D101" i="1"/>
  <c r="D110" i="1" s="1"/>
  <c r="I101" i="1"/>
  <c r="I110" i="1" s="1"/>
  <c r="E101" i="1"/>
  <c r="E110" i="1" s="1"/>
  <c r="B101" i="1"/>
  <c r="B110" i="1" s="1"/>
  <c r="H101" i="1"/>
  <c r="H110" i="1" s="1"/>
  <c r="I169" i="2"/>
  <c r="B99" i="1"/>
  <c r="B155" i="1"/>
  <c r="E125" i="2"/>
  <c r="E128" i="2" s="1"/>
  <c r="E133" i="2"/>
  <c r="E135" i="2" s="1"/>
  <c r="D128" i="2"/>
  <c r="C128" i="2"/>
  <c r="D123" i="2"/>
  <c r="C135" i="2"/>
  <c r="D135" i="2"/>
  <c r="D150" i="1"/>
  <c r="D84" i="1"/>
  <c r="D93" i="1" s="1"/>
  <c r="C86" i="1"/>
  <c r="C92" i="1" s="1"/>
  <c r="E96" i="1"/>
  <c r="E97" i="1"/>
  <c r="E152" i="1" s="1"/>
  <c r="I180" i="2"/>
  <c r="D180" i="2"/>
  <c r="G180" i="2"/>
  <c r="C180" i="2"/>
  <c r="F180" i="2"/>
  <c r="E180" i="2"/>
  <c r="H180" i="2"/>
  <c r="J169" i="2"/>
  <c r="C172" i="2"/>
  <c r="F173" i="2"/>
  <c r="I173" i="2"/>
  <c r="E173" i="2"/>
  <c r="H173" i="2"/>
  <c r="D173" i="2"/>
  <c r="G173" i="2"/>
  <c r="C173" i="2"/>
  <c r="D168" i="2"/>
  <c r="C168" i="2"/>
  <c r="E168" i="2"/>
  <c r="D124" i="2"/>
  <c r="B151" i="1"/>
  <c r="B166" i="1" s="1"/>
  <c r="B150" i="1"/>
  <c r="B93" i="1"/>
  <c r="B86" i="1"/>
  <c r="B92" i="1" s="1"/>
  <c r="E123" i="2" l="1"/>
  <c r="C123" i="2"/>
  <c r="E124" i="2"/>
  <c r="H103" i="1"/>
  <c r="H109" i="1" s="1"/>
  <c r="H111" i="1" s="1"/>
  <c r="H115" i="1" s="1"/>
  <c r="E103" i="1"/>
  <c r="E109" i="1" s="1"/>
  <c r="E111" i="1" s="1"/>
  <c r="E115" i="1" s="1"/>
  <c r="D103" i="1"/>
  <c r="D109" i="1" s="1"/>
  <c r="D111" i="1" s="1"/>
  <c r="C103" i="1"/>
  <c r="C109" i="1" s="1"/>
  <c r="C111" i="1" s="1"/>
  <c r="F103" i="1"/>
  <c r="F109" i="1" s="1"/>
  <c r="F111" i="1" s="1"/>
  <c r="G103" i="1"/>
  <c r="G109" i="1" s="1"/>
  <c r="G111" i="1" s="1"/>
  <c r="B169" i="1"/>
  <c r="B116" i="1"/>
  <c r="C169" i="1"/>
  <c r="C116" i="1"/>
  <c r="I169" i="1"/>
  <c r="I116" i="1"/>
  <c r="E169" i="1"/>
  <c r="E116" i="1"/>
  <c r="H169" i="1"/>
  <c r="H116" i="1"/>
  <c r="G169" i="1"/>
  <c r="G116" i="1"/>
  <c r="D169" i="1"/>
  <c r="D116" i="1"/>
  <c r="F169" i="1"/>
  <c r="F116" i="1"/>
  <c r="I103" i="1"/>
  <c r="I109" i="1" s="1"/>
  <c r="I111" i="1" s="1"/>
  <c r="B103" i="1"/>
  <c r="B109" i="1" s="1"/>
  <c r="B111" i="1" s="1"/>
  <c r="C177" i="2"/>
  <c r="C181" i="2" s="1"/>
  <c r="B147" i="1"/>
  <c r="B153" i="1" s="1"/>
  <c r="B148" i="1"/>
  <c r="C174" i="2"/>
  <c r="F125" i="2"/>
  <c r="F133" i="2"/>
  <c r="F135" i="2" s="1"/>
  <c r="D171" i="2"/>
  <c r="D177" i="2"/>
  <c r="F177" i="2"/>
  <c r="F169" i="2"/>
  <c r="E177" i="2"/>
  <c r="C95" i="1"/>
  <c r="F97" i="1"/>
  <c r="F152" i="1" s="1"/>
  <c r="F96" i="1"/>
  <c r="E150" i="1"/>
  <c r="E151" i="1"/>
  <c r="E166" i="1" s="1"/>
  <c r="E84" i="1"/>
  <c r="E169" i="2"/>
  <c r="D169" i="2"/>
  <c r="D172" i="2" s="1"/>
  <c r="J171" i="2"/>
  <c r="F171" i="2"/>
  <c r="I171" i="2"/>
  <c r="E171" i="2"/>
  <c r="H171" i="2"/>
  <c r="C171" i="2"/>
  <c r="G171" i="2"/>
  <c r="C124" i="2"/>
  <c r="B94" i="1"/>
  <c r="B98" i="1" s="1"/>
  <c r="C148" i="1"/>
  <c r="C147" i="1"/>
  <c r="C153" i="1" s="1"/>
  <c r="C94" i="1"/>
  <c r="C98" i="1" s="1"/>
  <c r="B154" i="1" l="1"/>
  <c r="B156" i="1" s="1"/>
  <c r="B164" i="1"/>
  <c r="B168" i="1" s="1"/>
  <c r="B170" i="1" s="1"/>
  <c r="C115" i="1"/>
  <c r="C164" i="1"/>
  <c r="C168" i="1" s="1"/>
  <c r="C170" i="1" s="1"/>
  <c r="I115" i="1"/>
  <c r="D115" i="1"/>
  <c r="F115" i="1"/>
  <c r="B115" i="1"/>
  <c r="G115" i="1"/>
  <c r="F123" i="2"/>
  <c r="D132" i="2"/>
  <c r="E132" i="2"/>
  <c r="C182" i="2"/>
  <c r="C132" i="2"/>
  <c r="C149" i="1"/>
  <c r="C155" i="1" s="1"/>
  <c r="D80" i="2" s="1"/>
  <c r="J174" i="2"/>
  <c r="I174" i="2"/>
  <c r="D181" i="2"/>
  <c r="E129" i="2"/>
  <c r="D129" i="2"/>
  <c r="C129" i="2"/>
  <c r="E126" i="2"/>
  <c r="E127" i="2"/>
  <c r="D127" i="2"/>
  <c r="C127" i="2"/>
  <c r="G133" i="2"/>
  <c r="G125" i="2"/>
  <c r="G174" i="2"/>
  <c r="F174" i="2"/>
  <c r="F128" i="2"/>
  <c r="H174" i="2"/>
  <c r="C126" i="2"/>
  <c r="D126" i="2"/>
  <c r="E174" i="2"/>
  <c r="D174" i="2"/>
  <c r="H179" i="2"/>
  <c r="J179" i="2"/>
  <c r="E179" i="2"/>
  <c r="C179" i="2"/>
  <c r="I179" i="2"/>
  <c r="G179" i="2"/>
  <c r="F179" i="2"/>
  <c r="D179" i="2"/>
  <c r="C88" i="2"/>
  <c r="C90" i="2" s="1"/>
  <c r="C80" i="2"/>
  <c r="C99" i="1"/>
  <c r="D95" i="1"/>
  <c r="D86" i="1"/>
  <c r="D92" i="1" s="1"/>
  <c r="E95" i="1"/>
  <c r="F84" i="1"/>
  <c r="F151" i="1"/>
  <c r="F166" i="1" s="1"/>
  <c r="F150" i="1"/>
  <c r="H72" i="1"/>
  <c r="I72" i="1"/>
  <c r="E93" i="1"/>
  <c r="G96" i="1"/>
  <c r="G97" i="1"/>
  <c r="G152" i="1" s="1"/>
  <c r="K169" i="2"/>
  <c r="E172" i="2"/>
  <c r="E181" i="2" s="1"/>
  <c r="I172" i="2"/>
  <c r="I181" i="2" s="1"/>
  <c r="H172" i="2"/>
  <c r="H181" i="2" s="1"/>
  <c r="G172" i="2"/>
  <c r="G181" i="2" s="1"/>
  <c r="J172" i="2"/>
  <c r="J181" i="2" s="1"/>
  <c r="F172" i="2"/>
  <c r="F181" i="2" s="1"/>
  <c r="C78" i="2"/>
  <c r="D78" i="2"/>
  <c r="K178" i="2"/>
  <c r="K170" i="2"/>
  <c r="C154" i="1"/>
  <c r="D79" i="2" s="1"/>
  <c r="G123" i="2" l="1"/>
  <c r="H182" i="2"/>
  <c r="I182" i="2"/>
  <c r="D134" i="2"/>
  <c r="J182" i="2"/>
  <c r="F182" i="2"/>
  <c r="E182" i="2"/>
  <c r="D182" i="2"/>
  <c r="G182" i="2"/>
  <c r="D149" i="1"/>
  <c r="D155" i="1" s="1"/>
  <c r="E149" i="1"/>
  <c r="E155" i="1" s="1"/>
  <c r="F126" i="2"/>
  <c r="E134" i="2"/>
  <c r="C136" i="2"/>
  <c r="C137" i="2" s="1"/>
  <c r="C134" i="2"/>
  <c r="D136" i="2"/>
  <c r="D137" i="2" s="1"/>
  <c r="E136" i="2"/>
  <c r="E137" i="2" s="1"/>
  <c r="D88" i="2"/>
  <c r="D90" i="2" s="1"/>
  <c r="H87" i="1"/>
  <c r="H97" i="1" s="1"/>
  <c r="H152" i="1" s="1"/>
  <c r="J72" i="1"/>
  <c r="C83" i="2"/>
  <c r="I87" i="1"/>
  <c r="I96" i="1" s="1"/>
  <c r="H125" i="2"/>
  <c r="H133" i="2"/>
  <c r="F124" i="2"/>
  <c r="F129" i="2" s="1"/>
  <c r="G128" i="2"/>
  <c r="G135" i="2"/>
  <c r="E86" i="1"/>
  <c r="E92" i="1" s="1"/>
  <c r="E148" i="1" s="1"/>
  <c r="G124" i="2"/>
  <c r="F93" i="1"/>
  <c r="D94" i="1"/>
  <c r="D98" i="1" s="1"/>
  <c r="D148" i="1"/>
  <c r="D147" i="1"/>
  <c r="D153" i="1" s="1"/>
  <c r="H67" i="1"/>
  <c r="G84" i="1"/>
  <c r="E99" i="1"/>
  <c r="F95" i="1"/>
  <c r="G150" i="1"/>
  <c r="G151" i="1"/>
  <c r="G166" i="1" s="1"/>
  <c r="D99" i="1"/>
  <c r="D83" i="2"/>
  <c r="C79" i="2"/>
  <c r="C84" i="2" s="1"/>
  <c r="C156" i="1"/>
  <c r="D81" i="2"/>
  <c r="C81" i="2"/>
  <c r="K177" i="2"/>
  <c r="D87" i="2"/>
  <c r="K168" i="2"/>
  <c r="D164" i="1" l="1"/>
  <c r="D168" i="1" s="1"/>
  <c r="E164" i="1"/>
  <c r="E168" i="1" s="1"/>
  <c r="E170" i="1" s="1"/>
  <c r="H123" i="2"/>
  <c r="E78" i="2"/>
  <c r="F149" i="1"/>
  <c r="F155" i="1" s="1"/>
  <c r="F132" i="2"/>
  <c r="F134" i="2" s="1"/>
  <c r="C87" i="2"/>
  <c r="D89" i="2" s="1"/>
  <c r="I97" i="1"/>
  <c r="I152" i="1" s="1"/>
  <c r="H96" i="1"/>
  <c r="H150" i="1" s="1"/>
  <c r="D84" i="2"/>
  <c r="G129" i="2"/>
  <c r="H128" i="2"/>
  <c r="F127" i="2"/>
  <c r="G127" i="2"/>
  <c r="G126" i="2"/>
  <c r="H135" i="2"/>
  <c r="E94" i="1"/>
  <c r="E98" i="1" s="1"/>
  <c r="E147" i="1"/>
  <c r="E153" i="1" s="1"/>
  <c r="H124" i="2"/>
  <c r="F99" i="1"/>
  <c r="D154" i="1"/>
  <c r="I151" i="1"/>
  <c r="I166" i="1" s="1"/>
  <c r="I150" i="1"/>
  <c r="E88" i="2"/>
  <c r="E80" i="2"/>
  <c r="F80" i="2"/>
  <c r="F88" i="2"/>
  <c r="E154" i="1"/>
  <c r="F79" i="2" s="1"/>
  <c r="F86" i="1"/>
  <c r="F92" i="1" s="1"/>
  <c r="G95" i="1"/>
  <c r="H68" i="1"/>
  <c r="G93" i="1"/>
  <c r="I67" i="1"/>
  <c r="I69" i="1" s="1"/>
  <c r="H69" i="1"/>
  <c r="E45" i="2"/>
  <c r="J42" i="2"/>
  <c r="H45" i="2"/>
  <c r="D45" i="2"/>
  <c r="G45" i="2"/>
  <c r="F45" i="2"/>
  <c r="B45" i="2"/>
  <c r="C82" i="2"/>
  <c r="D82" i="2"/>
  <c r="J123" i="2" l="1"/>
  <c r="G132" i="2"/>
  <c r="G134" i="2" s="1"/>
  <c r="J125" i="2"/>
  <c r="J133" i="2"/>
  <c r="E81" i="2"/>
  <c r="F136" i="2"/>
  <c r="F137" i="2" s="1"/>
  <c r="G149" i="1"/>
  <c r="G155" i="1" s="1"/>
  <c r="F78" i="2"/>
  <c r="C91" i="2"/>
  <c r="C92" i="2" s="1"/>
  <c r="C89" i="2"/>
  <c r="I133" i="2"/>
  <c r="I135" i="2" s="1"/>
  <c r="I125" i="2"/>
  <c r="I128" i="2" s="1"/>
  <c r="D91" i="2"/>
  <c r="D92" i="2" s="1"/>
  <c r="H151" i="1"/>
  <c r="H166" i="1" s="1"/>
  <c r="I84" i="1"/>
  <c r="I93" i="1" s="1"/>
  <c r="H84" i="1"/>
  <c r="H93" i="1" s="1"/>
  <c r="J69" i="1"/>
  <c r="H129" i="2"/>
  <c r="H127" i="2"/>
  <c r="H126" i="2"/>
  <c r="E87" i="2"/>
  <c r="D170" i="1"/>
  <c r="F87" i="2"/>
  <c r="I124" i="2"/>
  <c r="F148" i="1"/>
  <c r="F147" i="1"/>
  <c r="F153" i="1" s="1"/>
  <c r="F94" i="1"/>
  <c r="F98" i="1" s="1"/>
  <c r="G80" i="2"/>
  <c r="G83" i="2" s="1"/>
  <c r="G88" i="2"/>
  <c r="G90" i="2" s="1"/>
  <c r="G99" i="1"/>
  <c r="E83" i="2"/>
  <c r="F83" i="2"/>
  <c r="G86" i="1"/>
  <c r="G92" i="1" s="1"/>
  <c r="E156" i="1"/>
  <c r="E90" i="2"/>
  <c r="F90" i="2"/>
  <c r="E79" i="2"/>
  <c r="D156" i="1"/>
  <c r="H70" i="1"/>
  <c r="I68" i="1"/>
  <c r="I70" i="1" s="1"/>
  <c r="J124" i="2" l="1"/>
  <c r="K124" i="2" s="1"/>
  <c r="F164" i="1"/>
  <c r="F168" i="1" s="1"/>
  <c r="I123" i="2"/>
  <c r="J129" i="2" s="1"/>
  <c r="G136" i="2"/>
  <c r="G137" i="2" s="1"/>
  <c r="I85" i="1"/>
  <c r="I95" i="1" s="1"/>
  <c r="H85" i="1"/>
  <c r="H95" i="1" s="1"/>
  <c r="F81" i="2"/>
  <c r="H132" i="2"/>
  <c r="H134" i="2" s="1"/>
  <c r="E84" i="2"/>
  <c r="J128" i="2"/>
  <c r="J132" i="2"/>
  <c r="K133" i="2"/>
  <c r="J135" i="2"/>
  <c r="K125" i="2"/>
  <c r="F84" i="2"/>
  <c r="E89" i="2"/>
  <c r="J127" i="2"/>
  <c r="I127" i="2"/>
  <c r="F89" i="2"/>
  <c r="F154" i="1"/>
  <c r="G79" i="2" s="1"/>
  <c r="G82" i="2" s="1"/>
  <c r="F82" i="2"/>
  <c r="F91" i="2" s="1"/>
  <c r="E82" i="2"/>
  <c r="E91" i="2" s="1"/>
  <c r="G147" i="1"/>
  <c r="G153" i="1" s="1"/>
  <c r="G148" i="1"/>
  <c r="G94" i="1"/>
  <c r="G98" i="1" s="1"/>
  <c r="H88" i="2"/>
  <c r="H90" i="2" s="1"/>
  <c r="H80" i="2"/>
  <c r="G78" i="2"/>
  <c r="I129" i="2" l="1"/>
  <c r="J126" i="2"/>
  <c r="I132" i="2"/>
  <c r="K132" i="2" s="1"/>
  <c r="I126" i="2"/>
  <c r="K123" i="2"/>
  <c r="G164" i="1"/>
  <c r="G168" i="1" s="1"/>
  <c r="I86" i="1"/>
  <c r="I92" i="1" s="1"/>
  <c r="I147" i="1" s="1"/>
  <c r="I153" i="1" s="1"/>
  <c r="J78" i="2" s="1"/>
  <c r="I149" i="1"/>
  <c r="I155" i="1" s="1"/>
  <c r="J88" i="2" s="1"/>
  <c r="I99" i="1"/>
  <c r="H136" i="2"/>
  <c r="H137" i="2" s="1"/>
  <c r="E92" i="2"/>
  <c r="H86" i="1"/>
  <c r="H92" i="1" s="1"/>
  <c r="H148" i="1" s="1"/>
  <c r="F92" i="2"/>
  <c r="H99" i="1"/>
  <c r="H149" i="1"/>
  <c r="H155" i="1" s="1"/>
  <c r="I80" i="2" s="1"/>
  <c r="I83" i="2" s="1"/>
  <c r="G84" i="2"/>
  <c r="G87" i="2"/>
  <c r="G89" i="2" s="1"/>
  <c r="F170" i="1"/>
  <c r="G81" i="2"/>
  <c r="G154" i="1"/>
  <c r="H79" i="2" s="1"/>
  <c r="H83" i="2"/>
  <c r="H78" i="2"/>
  <c r="F156" i="1"/>
  <c r="J134" i="2" l="1"/>
  <c r="J136" i="2"/>
  <c r="J137" i="2" s="1"/>
  <c r="I134" i="2"/>
  <c r="I136" i="2"/>
  <c r="I137" i="2" s="1"/>
  <c r="H164" i="1"/>
  <c r="I148" i="1"/>
  <c r="I88" i="2"/>
  <c r="I90" i="2" s="1"/>
  <c r="J80" i="2"/>
  <c r="J83" i="2" s="1"/>
  <c r="I94" i="1"/>
  <c r="I98" i="1" s="1"/>
  <c r="H154" i="1"/>
  <c r="I79" i="2" s="1"/>
  <c r="I82" i="2" s="1"/>
  <c r="H94" i="1"/>
  <c r="H98" i="1" s="1"/>
  <c r="H147" i="1"/>
  <c r="H153" i="1" s="1"/>
  <c r="G91" i="2"/>
  <c r="G92" i="2" s="1"/>
  <c r="H84" i="2"/>
  <c r="H87" i="2"/>
  <c r="H89" i="2" s="1"/>
  <c r="G170" i="1"/>
  <c r="G156" i="1"/>
  <c r="H81" i="2"/>
  <c r="H82" i="2"/>
  <c r="I164" i="1" l="1"/>
  <c r="H168" i="1"/>
  <c r="H170" i="1" s="1"/>
  <c r="K80" i="2"/>
  <c r="K88" i="2"/>
  <c r="J90" i="2"/>
  <c r="I154" i="1"/>
  <c r="J79" i="2" s="1"/>
  <c r="J82" i="2" s="1"/>
  <c r="I78" i="2"/>
  <c r="I81" i="2" s="1"/>
  <c r="H156" i="1"/>
  <c r="H91" i="2"/>
  <c r="H92" i="2" s="1"/>
  <c r="I87" i="2" l="1"/>
  <c r="I91" i="2" s="1"/>
  <c r="I168" i="1"/>
  <c r="I156" i="1"/>
  <c r="K79" i="2"/>
  <c r="K78" i="2"/>
  <c r="J84" i="2"/>
  <c r="I84" i="2"/>
  <c r="J81" i="2"/>
  <c r="I89" i="2"/>
  <c r="J87" i="2" l="1"/>
  <c r="I170" i="1"/>
  <c r="I92" i="2"/>
  <c r="B162" i="1"/>
  <c r="B31" i="2"/>
  <c r="C37" i="2" s="1"/>
  <c r="B40" i="2"/>
  <c r="I43" i="2" s="1"/>
  <c r="J89" i="2" l="1"/>
  <c r="J91" i="2"/>
  <c r="J92" i="2" s="1"/>
  <c r="K87" i="2"/>
  <c r="E43" i="2"/>
  <c r="F43" i="2"/>
  <c r="J31" i="2"/>
  <c r="D37" i="2"/>
  <c r="B34" i="2"/>
  <c r="B37" i="2"/>
  <c r="H46" i="2"/>
  <c r="I46" i="2"/>
  <c r="J40" i="2"/>
  <c r="D46" i="2"/>
  <c r="E37" i="2"/>
  <c r="G34" i="2"/>
  <c r="D34" i="2"/>
  <c r="F34" i="2"/>
  <c r="G37" i="2"/>
  <c r="G46" i="2"/>
  <c r="F46" i="2"/>
  <c r="B46" i="2"/>
  <c r="B47" i="2" s="1"/>
  <c r="C43" i="2"/>
  <c r="D43" i="2"/>
  <c r="B43" i="2"/>
  <c r="F37" i="2"/>
  <c r="C34" i="2"/>
  <c r="I34" i="2"/>
  <c r="I37" i="2"/>
  <c r="C46" i="2"/>
  <c r="C47" i="2" s="1"/>
  <c r="E46" i="2"/>
  <c r="E47" i="2" s="1"/>
  <c r="H43" i="2"/>
  <c r="G43" i="2"/>
  <c r="H37" i="2"/>
  <c r="E34" i="2"/>
  <c r="H34" i="2"/>
  <c r="G47" i="2" l="1"/>
  <c r="I47" i="2"/>
  <c r="H47" i="2"/>
  <c r="D47" i="2"/>
  <c r="F47" i="2"/>
</calcChain>
</file>

<file path=xl/sharedStrings.xml><?xml version="1.0" encoding="utf-8"?>
<sst xmlns="http://schemas.openxmlformats.org/spreadsheetml/2006/main" count="1459" uniqueCount="332">
  <si>
    <t>% of US</t>
  </si>
  <si>
    <t>CA LVM Vehicle Population</t>
  </si>
  <si>
    <t>LVM S177 Market Share of Annual Sales</t>
  </si>
  <si>
    <t>IVM S177 Market Share of Annual Sales</t>
  </si>
  <si>
    <t>CA ZEV Requirement (Credits)</t>
  </si>
  <si>
    <t>Min. ZEV %</t>
  </si>
  <si>
    <t>Total ZEV %</t>
  </si>
  <si>
    <t>S177 ZEV Requirement (Credits)</t>
  </si>
  <si>
    <t>Min. ZEV % in S177 States</t>
  </si>
  <si>
    <t>Total % in S177 States</t>
  </si>
  <si>
    <t>CA GHG Over-Compliance</t>
  </si>
  <si>
    <t>% of IVMs taking this path</t>
  </si>
  <si>
    <t xml:space="preserve">S177 GHG Over-Compliance </t>
  </si>
  <si>
    <t>CA Historical PZEV, AT PZEV and NEV Credits</t>
  </si>
  <si>
    <t>S177 Historical PZEV, AT PZEV, and NEV Credits</t>
  </si>
  <si>
    <t>IVM</t>
  </si>
  <si>
    <t>IVM Difference</t>
  </si>
  <si>
    <t>% of requirement that will be met with pure ZEV credits (LVM)</t>
  </si>
  <si>
    <t>Banked ZEV credits being used every year (LVM)</t>
  </si>
  <si>
    <t>% of requirement that will be met with banked credits (IVM)</t>
  </si>
  <si>
    <t>Banked ZEV credits being used every year (IVM)</t>
  </si>
  <si>
    <t>Adjusted CA Credit Requirement</t>
  </si>
  <si>
    <t>New pure ZEV requirement (after caps and credits)</t>
  </si>
  <si>
    <t>% of LVMs making only ZEVs</t>
  </si>
  <si>
    <t>% of IVMs making only ZEVs</t>
  </si>
  <si>
    <t>Number of credits from ZEVs (ZEV only LVMs)</t>
  </si>
  <si>
    <t>Adjust number of ZEVs credits (LVMs)</t>
  </si>
  <si>
    <t>Number of credits from ZEVs (ZEV only IVMs)</t>
  </si>
  <si>
    <t>Adjusted S177 Credit Requirement</t>
  </si>
  <si>
    <t>Technology Mix/Vehicle Numbers</t>
  </si>
  <si>
    <t>% of ZEV only LVMs making BEVs</t>
  </si>
  <si>
    <t>% of ZEV/PHEV LVMs making BEVs</t>
  </si>
  <si>
    <t>% of ZEV IVMs making BEVs</t>
  </si>
  <si>
    <t>Label Range BEV</t>
  </si>
  <si>
    <t>UDDS Range BEV</t>
  </si>
  <si>
    <t>Credit per BEV</t>
  </si>
  <si>
    <t>NO</t>
  </si>
  <si>
    <t>US 06 Credit</t>
  </si>
  <si>
    <t>Credit per PHEV</t>
  </si>
  <si>
    <t>YES</t>
  </si>
  <si>
    <t>CA Vehicle Numbers</t>
  </si>
  <si>
    <t>LVM BEVs</t>
  </si>
  <si>
    <t>LVM PHEVs</t>
  </si>
  <si>
    <t>IVM BEVs</t>
  </si>
  <si>
    <t>IVM PHEVs</t>
  </si>
  <si>
    <t>Compare to: CA BEVs (no caps or credits factored in)</t>
  </si>
  <si>
    <t>Compare to 2012 CA Scenario: BEVs</t>
  </si>
  <si>
    <t>Compare to  2012 CA Scenario: PHEVs</t>
  </si>
  <si>
    <t>Sum</t>
  </si>
  <si>
    <t>S177 State Vehicle Numbers</t>
  </si>
  <si>
    <t>Compare to: S177 BEVs (no caps or credits factored in)</t>
  </si>
  <si>
    <t>Compare to: S177 PHEVs (no caps or credits factored in)</t>
  </si>
  <si>
    <t>Compare to 2012 S177 Scenario: BEVs</t>
  </si>
  <si>
    <t>Compare to  2012 S177 Scenario: PHEVs</t>
  </si>
  <si>
    <t>Total 2018-2025</t>
  </si>
  <si>
    <t>CA + S177 Vehicle Numbers</t>
  </si>
  <si>
    <t>OUTPUT SCENARIO 3</t>
  </si>
  <si>
    <t>OUTPUT SCENARIO 2</t>
  </si>
  <si>
    <t>OUTPUT SCENARIO 1</t>
  </si>
  <si>
    <t>cumulative BEVs</t>
  </si>
  <si>
    <t>cumulative PHEVs</t>
  </si>
  <si>
    <t>cumulative CA 2012</t>
  </si>
  <si>
    <t xml:space="preserve">2012 SCENARIO </t>
  </si>
  <si>
    <t>CA+S177 Vehicle Numbers</t>
  </si>
  <si>
    <t>cumulative CA+S177 2012</t>
  </si>
  <si>
    <t xml:space="preserve"> 2012 CA Scenario: BEVs</t>
  </si>
  <si>
    <t xml:space="preserve"> 2012 CA+S177 Scenario: BEVs</t>
  </si>
  <si>
    <t xml:space="preserve"> 2012 CA Scenario: PHEVs</t>
  </si>
  <si>
    <t xml:space="preserve"> 2012 CA+S177 Scenario: PHEVs</t>
  </si>
  <si>
    <t>cumulative CA 2012 Scenario: BEVs</t>
  </si>
  <si>
    <t>cumulative CA 2012 Scenario: PHEVs</t>
  </si>
  <si>
    <t>cumulative CA+S177 2012 Scenario: BEVs</t>
  </si>
  <si>
    <t>cumulative CA+S177 2012 Scenario: PHEVs</t>
  </si>
  <si>
    <t>New Light Duty Sales</t>
  </si>
  <si>
    <t>Source: Annual Energy Outlook 2015</t>
  </si>
  <si>
    <t>3-Year Rolling Average</t>
  </si>
  <si>
    <t>Annual Sales (thousands)</t>
  </si>
  <si>
    <t>Total US LDV Population 3 year Averages</t>
  </si>
  <si>
    <t>Frequently Asked Questions</t>
  </si>
  <si>
    <t>S177 State LVM Population</t>
  </si>
  <si>
    <t xml:space="preserve">S177 State IVM Population </t>
  </si>
  <si>
    <t>Market Shares</t>
  </si>
  <si>
    <t>CA Sales</t>
  </si>
  <si>
    <t>CA Market Share</t>
  </si>
  <si>
    <t>Source: (CA Data) ARB ZEV Public Credits Summary for 2014 Model Year</t>
  </si>
  <si>
    <t>Source: (S177 Data) Average of NY, NJ and OR Public Credits Summary for 2014 Model Year</t>
  </si>
  <si>
    <t>Websites: http://www.dec.ny.gov/chemical/104947.html</t>
  </si>
  <si>
    <t>Website: http://www.nj.gov/dep/cleanvehicles/2014ZEV.pdf</t>
  </si>
  <si>
    <t>Website: http://www.deq.state.or.us/aq/orlev/docs/ZEVcredits.pdf</t>
  </si>
  <si>
    <t>Answer: Publically available sales data by manufacturer easily found for these 3 states, and on average, track closely with the average market share by manufacturer for all 9 S177 ZEV states</t>
  </si>
  <si>
    <t>FCA</t>
  </si>
  <si>
    <t>Ford</t>
  </si>
  <si>
    <t>Fuji/Subaru</t>
  </si>
  <si>
    <t>General Motors</t>
  </si>
  <si>
    <t>Honda</t>
  </si>
  <si>
    <t>Hyundai</t>
  </si>
  <si>
    <t>Jaguar Land Rover</t>
  </si>
  <si>
    <t>Kia</t>
  </si>
  <si>
    <t>Mazda</t>
  </si>
  <si>
    <t xml:space="preserve">Mercedes </t>
  </si>
  <si>
    <t>Nissan</t>
  </si>
  <si>
    <t>Toyota</t>
  </si>
  <si>
    <t>VW</t>
  </si>
  <si>
    <t>BMW</t>
  </si>
  <si>
    <t>S177 (Average) Market Share</t>
  </si>
  <si>
    <t>Total</t>
  </si>
  <si>
    <t>LVM Difference</t>
  </si>
  <si>
    <t>LVM Market Share</t>
  </si>
  <si>
    <t>Mitsubishi</t>
  </si>
  <si>
    <t>Volvo</t>
  </si>
  <si>
    <t>IVM Market Share</t>
  </si>
  <si>
    <t xml:space="preserve">Answer: Because the requirement can be met differently by the IVMs and compared to the LVMs, the flexibilities allowed to these two different manufacturers is better reflected when the two definitions can be isolated from each other.  </t>
  </si>
  <si>
    <t>The percent of the IVMs (in total) a single manufacturer or group of manufacturers represent</t>
  </si>
  <si>
    <t xml:space="preserve">The percent of the LVMs (in total) a single manufacturer or group of manufacturers represent.  </t>
  </si>
  <si>
    <t>2026 LVM Margin</t>
  </si>
  <si>
    <t>2026 IVM Margin</t>
  </si>
  <si>
    <t>Industry Credits</t>
  </si>
  <si>
    <t>% of IVMs using this cap</t>
  </si>
  <si>
    <t>% of LVMs making PHEV A</t>
  </si>
  <si>
    <t>% of LVMs making PHEV B</t>
  </si>
  <si>
    <t>% of IVMs making PHEV B</t>
  </si>
  <si>
    <t>Label Range PHEV A</t>
  </si>
  <si>
    <t>Label Range PHEV B</t>
  </si>
  <si>
    <t>% of LVMs making PHEV A  (1 = 100%)</t>
  </si>
  <si>
    <t>% of LVMs making PHEV A (1=100%)</t>
  </si>
  <si>
    <t>% of LVMs making PHEV A (1 = 100%)</t>
  </si>
  <si>
    <t>Credit per PHEV B (Corrected for cap)</t>
  </si>
  <si>
    <t>UDDS Range PHEV B</t>
  </si>
  <si>
    <t>UDDS Range PHEV A</t>
  </si>
  <si>
    <t>cumulative FCEVs</t>
  </si>
  <si>
    <t>NY Sales</t>
  </si>
  <si>
    <t>NJ Sales</t>
  </si>
  <si>
    <t>OR Sales</t>
  </si>
  <si>
    <t>Total NY, NJ, OR Sales</t>
  </si>
  <si>
    <t>LVM Total</t>
  </si>
  <si>
    <t>IVM Total</t>
  </si>
  <si>
    <t>2014 MY Sales</t>
  </si>
  <si>
    <t>% of LVMs (S177 volumes) taking Optional Compliance Path</t>
  </si>
  <si>
    <t>2018-2025 TOTALS</t>
  </si>
  <si>
    <t>% of market = LVM</t>
  </si>
  <si>
    <t>% of market = IVM</t>
  </si>
  <si>
    <t>Tesla</t>
  </si>
  <si>
    <t>LVM FCEVs</t>
  </si>
  <si>
    <t>IVM FCEVs</t>
  </si>
  <si>
    <t>Compare to 2012 CA Scenario: FCEVs</t>
  </si>
  <si>
    <t>Compare to 2012 S177 Scenario: FCEVs</t>
  </si>
  <si>
    <t>Label Range FCEV</t>
  </si>
  <si>
    <t>% of ZEV/PHEV LVMs making FCEVs</t>
  </si>
  <si>
    <t>% of ZEV IVMs making FCEVs</t>
  </si>
  <si>
    <t>% of ZEV only LVMs making FCEVs</t>
  </si>
  <si>
    <t>CY2015 CA share of total US light vehicle sales: 12%</t>
  </si>
  <si>
    <r>
      <t xml:space="preserve">CY2015 S177 share of total US light vehicle sales: </t>
    </r>
    <r>
      <rPr>
        <sz val="11"/>
        <color rgb="FF000000"/>
        <rFont val="Calibri"/>
        <family val="2"/>
        <scheme val="minor"/>
      </rPr>
      <t>16%</t>
    </r>
  </si>
  <si>
    <t>(S177 states are: CT, ME, MD, MA, NJ, NY, OR, RI, VT)</t>
  </si>
  <si>
    <t>Source: IHS Automotive, Polk new vehicle registrations for CYE2015</t>
  </si>
  <si>
    <t>CA and S177 State Shares of National Light Duty Sales</t>
  </si>
  <si>
    <t>LDV</t>
  </si>
  <si>
    <t>Light duty vehicle</t>
  </si>
  <si>
    <t>S177 States</t>
  </si>
  <si>
    <t>LVM</t>
  </si>
  <si>
    <t xml:space="preserve">IVM </t>
  </si>
  <si>
    <t>Intermediate volume manufacturers, manufacturers with annual passenger car and light duty truck sales greater than 4,500, but less than 20,000 in California</t>
  </si>
  <si>
    <t>Large volume manufacturers, manufacturers with annual passenger car and light duty truck sales greater than 20,000 in California</t>
  </si>
  <si>
    <t>ZEV</t>
  </si>
  <si>
    <t>Zero emission vehicle, a vehicle with no criterita pollutant or greenhouse gasses emitted during any operational mode (i.e. a battery electric vehicle or a fuel cell electric vehicle)</t>
  </si>
  <si>
    <t>TZEV</t>
  </si>
  <si>
    <t>CA IVM Vehicle Population</t>
  </si>
  <si>
    <t xml:space="preserve">MY </t>
  </si>
  <si>
    <t xml:space="preserve">Answer: LVMs have a minimum number of credits each year that must come from pure ZEVs.  We call that the minimum ZEV requirement.  In addition to their minimum ZEV requirement, LVMs are allowed to fulfill part of their requirement with credits from TZEVs, and this is called their maximum allowed TZEV credit percentage, or Max TZEV%. Please see the ZEV tutorial posted on our website. </t>
  </si>
  <si>
    <t>GHG</t>
  </si>
  <si>
    <t>Greenhouse gas, related to the GHG-ZEV overcompliance provision, where manufacturers overcomplying with Federal GHG fleet standards may comply with a less stringent ZEV regulation for 2018-2021 model years</t>
  </si>
  <si>
    <t>PZEV</t>
  </si>
  <si>
    <t>AT PZEV</t>
  </si>
  <si>
    <t>NEV</t>
  </si>
  <si>
    <t>Neighborhood electric vehicles, low speed short range ZEVs</t>
  </si>
  <si>
    <t>Advanced technology partial zero emission vehicles (i.e. conventional hybrids and compressed natural gas vehicles that meet SULEV tailpipe emission levels)</t>
  </si>
  <si>
    <t>Partial zero emission vehicles, conventional gasoline vehicles meeting SULEV tailpipe emission levels, and 15 year/150,000 mile emissions system warranty</t>
  </si>
  <si>
    <t>FCEV</t>
  </si>
  <si>
    <t>BEV</t>
  </si>
  <si>
    <t>Battery electric vehicle</t>
  </si>
  <si>
    <t>% of IVMs making PHEV A</t>
  </si>
  <si>
    <t>Total S177 LDV Population</t>
  </si>
  <si>
    <t>Total CA LDV Population</t>
  </si>
  <si>
    <t>PHEV</t>
  </si>
  <si>
    <t>Plug-in hybrid electric vehicle</t>
  </si>
  <si>
    <t>Fuel cell electric vehicle</t>
  </si>
  <si>
    <t>Transitional zero emission vehicle, a vehicle that meets SULEV emissions, and has greater than 10 miles all electric range on the urban dynomometer drive schedule (ie. plug-in hybrid)</t>
  </si>
  <si>
    <t>Model year, requirements are by model year, not by calendar year or fiscal year</t>
  </si>
  <si>
    <t>States that have adopted California's regulations through section 177 of the Clean Air Act. These states include New York, New Jersey, Maine, Maryland, Oregon, Rhode Island, Connecticut, Massachussets.  For the purposes of this calculator, section 177 states refer to those states that have adopted the ZEV portion of the California standards</t>
  </si>
  <si>
    <t>Answer: When determining a manufacturer's requirement, manufacturers (by default) use an average sales, based on the 2nd, 3rd, and 4th year's previous sales.  (CCR 1962.2 (b)(1)(B))</t>
  </si>
  <si>
    <t xml:space="preserve">Total Light Duty Vehicle Sales </t>
  </si>
  <si>
    <t xml:space="preserve">Answer: As the market expands, some manuafcturers are emerging with plans to only focus on one technology, rather than make two technologies at the same time.  This can change the number of total vehicles that can be expected from the regulation.  </t>
  </si>
  <si>
    <t xml:space="preserve">Answer: This is done to figure in "travel", the mechanism in the regulation that allows vehicles placed in one state to count for compliance in all states.  After 2018, only FCEVs are allowed to "travel", and therefore must be calculated separately for the S177 state total vehicle numbers to be counted accurately.  </t>
  </si>
  <si>
    <t>US 06</t>
  </si>
  <si>
    <t>US 06 Drive Schedule, a test cycle used for emission testing, but in this case, to determine if the PHEV in question can travel for 10 miles in all-electric mode on the US 06 drive schedule</t>
  </si>
  <si>
    <t>% of LVMs using this cap</t>
  </si>
  <si>
    <t>% of LVMs taking this path</t>
  </si>
  <si>
    <t xml:space="preserve">LVM CA Market Share of Annual Sales </t>
  </si>
  <si>
    <t xml:space="preserve">IVM CA Market Share of Annual Sales </t>
  </si>
  <si>
    <t>n/a</t>
  </si>
  <si>
    <t xml:space="preserve">INPUTS SCENARIO 1 </t>
  </si>
  <si>
    <t xml:space="preserve">INPUTS SCENARIO 3 </t>
  </si>
  <si>
    <t>S177 Bank Vehs</t>
  </si>
  <si>
    <t>cumulative CA + S177 (2018-2025)</t>
  </si>
  <si>
    <t>cumulative CA (2018-2025)</t>
  </si>
  <si>
    <t>Annual BEVs</t>
  </si>
  <si>
    <t>Annual PHEVs</t>
  </si>
  <si>
    <t>Annual FCEVs</t>
  </si>
  <si>
    <t>CA Bank Vehs</t>
  </si>
  <si>
    <t xml:space="preserve">cumulative PHEVs </t>
  </si>
  <si>
    <t xml:space="preserve">cumulative FCEVs </t>
  </si>
  <si>
    <t>AER Growth Rate</t>
  </si>
  <si>
    <t>Label Range BEV (miles)</t>
  </si>
  <si>
    <t>Label Range  PHEV A (miles)</t>
  </si>
  <si>
    <t>Label Range  PHEV B (miles)</t>
  </si>
  <si>
    <t>Label Range PHEV A (miles)</t>
  </si>
  <si>
    <t>Label Range PHEV B (miles)</t>
  </si>
  <si>
    <t>General</t>
  </si>
  <si>
    <t xml:space="preserve"> 2012 CA Scenario: FCEVs</t>
  </si>
  <si>
    <t>cumulative CA 2012 Scenario: FCEVs</t>
  </si>
  <si>
    <t xml:space="preserve"> 2012 CA+S177 Scenario: FCEVs</t>
  </si>
  <si>
    <t>cumulative CA+S177 2012 Scenario: FCEVs</t>
  </si>
  <si>
    <t>% of ZEV/PHEV LVMs making FCEVs (1=100%)</t>
  </si>
  <si>
    <t>Credit per PHEV A (Corrected for cap)</t>
  </si>
  <si>
    <t>Credit per PHEV A PHEV</t>
  </si>
  <si>
    <t>Is PHEV B US 06 capable?</t>
  </si>
  <si>
    <t>Is PHEV A US 06 capable?</t>
  </si>
  <si>
    <t>UDDS Range FCEV</t>
  </si>
  <si>
    <t>Credit per FCEV</t>
  </si>
  <si>
    <t>Compare to: CA PHEVs (no caps or redits factored in)</t>
  </si>
  <si>
    <t>ZEV + PHEV % of Annual CA LDV Sales</t>
  </si>
  <si>
    <t>ZEV + PHEV % of Annual S177 LDV Sales</t>
  </si>
  <si>
    <t>% of LVMs making ZEVs and PHEVs</t>
  </si>
  <si>
    <t>% of IVMs making only PHEVs</t>
  </si>
  <si>
    <t>Adjusted Total-Annual number of ZEV credits</t>
  </si>
  <si>
    <t>Adjusted Total-Annual number of PHEV credits</t>
  </si>
  <si>
    <t>Cumulative S177 PEVs</t>
  </si>
  <si>
    <t>cumulative S177 PEVs (2012)</t>
  </si>
  <si>
    <t>cumulative S177 PEVs</t>
  </si>
  <si>
    <t>Max. PHEV %</t>
  </si>
  <si>
    <t>Max. PHEV % in S177 States</t>
  </si>
  <si>
    <t>% of requirement that will be met with PHEV credits (LVM)</t>
  </si>
  <si>
    <t>Banked PHEV credits being used every year (LVM)</t>
  </si>
  <si>
    <t>New Min. PHEV portion of requirement (after caps and credits)</t>
  </si>
  <si>
    <t>Number of credits from ZEVs (ZEV/PHEV LVMs)</t>
  </si>
  <si>
    <t>Number of credits from PHEVs (LVMs)</t>
  </si>
  <si>
    <t>Number of credits from PHEVs (PHEV only IVMs)</t>
  </si>
  <si>
    <t>CA Min. ZEV credits (LVM)</t>
  </si>
  <si>
    <t>CA Max. PHEV credits (LVM)</t>
  </si>
  <si>
    <t>CA Total ZEV credits (LVM)</t>
  </si>
  <si>
    <t>CA Total credit requirement (All Manufacturers)</t>
  </si>
  <si>
    <t xml:space="preserve">CA Total IVM req credits </t>
  </si>
  <si>
    <t xml:space="preserve">S177 Total IVM req credits </t>
  </si>
  <si>
    <t>S177 Total ZEV credits (LVM)</t>
  </si>
  <si>
    <t>S177 Max. PHEV credits (LVM)</t>
  </si>
  <si>
    <t>S177 Min. ZEV credits (LVM)</t>
  </si>
  <si>
    <t>Optional Comp Path reduction in Max. PHEV%</t>
  </si>
  <si>
    <t>Optional Comp Path reduction in Min. ZEV%</t>
  </si>
  <si>
    <t>S177 Total credit requirement (All Manufacturers)</t>
  </si>
  <si>
    <t>Maximum # of credits allowed to be fulfilled with GHG Over-Compliance credits (LVM)</t>
  </si>
  <si>
    <t>% of ZEV requirement (Overall and Min. ZEV) allowed to be fulfilled with Over-Compliance credits</t>
  </si>
  <si>
    <t>Maximum # credits allowed to fulfill Min. ZEV by Over-Compliance credits (LVM)</t>
  </si>
  <si>
    <t>Left over credits to fulfill PHEV credits (LVM)</t>
  </si>
  <si>
    <t xml:space="preserve">Maximum # of credits allowed to be fulfilled with GHG Over-Compliance credits (IVM) </t>
  </si>
  <si>
    <t>% of PHEV category allowed to be fulfilled with Historical PZEV, AT PZEV and NEV credits (LVM)</t>
  </si>
  <si>
    <t>Maximum # credits allowed with Historical cap (LVM)</t>
  </si>
  <si>
    <t>% of PHEV category allowed to be fulfilled with Historical PZEV, AT PZEV and NEV credits (IVM)</t>
  </si>
  <si>
    <t>Maximum # credits allowed with Historical cap (IVM)</t>
  </si>
  <si>
    <t>Number of Pure ZEV credits</t>
  </si>
  <si>
    <t>New Total-Annual LVM requirement (after caps and credits)</t>
  </si>
  <si>
    <t>New Total-Annual IVM requirement (after caps and credits)</t>
  </si>
  <si>
    <t>Number of PHEV credits</t>
  </si>
  <si>
    <t xml:space="preserve">1.  Why do you use "LVM and IVM market share percentages" rather than absolute market share percentages?  </t>
  </si>
  <si>
    <t>Yellow Highlighted Cells throughout this workbook are input cells, and are intended for the user to modify as desired.</t>
  </si>
  <si>
    <t xml:space="preserve">Answer: The calcultor bases use of historical banked credits on how much manufacturers leave in the bank for 2026.  Many manufacturers have historically carried a credit balance far greater than what they have needed in a given model year.  The number of banked credits is compared with what is needed to comply with 2026 (at the percent specified), and the remainder is divided evenly between the 8 model years of the program (2018-2025).  This is done for both LVMs and IVMs in California and in the Section 177 ZEV state banks.  </t>
  </si>
  <si>
    <t xml:space="preserve">Answer: Two distinct PHEV architectures have emerged since the 2012 amendments.  Because credit per PHEV has a significant effect on the total number of vehicles, and because blended and non-blended PHEVs typically earn different amounts of credit, it expanded the usability of the calculator to allow two different types of PHEVs to be made for running various scenarios, rather than assuming a simple average amount of credit. However, a scenario could be run in which OEMs would make a blended PHEV with more electric range, and a blended PHEV with less electric range, but this capability of the calculator can help better refine the impact of those differences in the overall number of vehicles expected.     </t>
  </si>
  <si>
    <t>2.  What are CA bank vehicles (Figure on "Scenarios tab")?</t>
  </si>
  <si>
    <t xml:space="preserve">Answer: This is the number of historical credits used to comply in this scenario through 2025, translated back into the number of vehicles it would have taken to produce those credits. See FAQ question 6 for more on how historical credits are calculated.  </t>
  </si>
  <si>
    <t>AER</t>
  </si>
  <si>
    <t>All-electric range</t>
  </si>
  <si>
    <t xml:space="preserve">INPUTS SCENARIO 2 </t>
  </si>
  <si>
    <t xml:space="preserve">Answer: IVMs are smaller companies and tend to have less resources to spend on multiple new technologies simultaneously.  Therefore, for simplicity, it is assumed that IVMs pursue one technology pathway at a time.     The regulation allows full compliance for IVMs with TZEV credits, meaning there is no TZEV cap to model within the calculator(which is not the case with LVMs).  However, IVMs have announced publically they will also make ZEVs. Looking at all IVMs together as a compliance group, a user could change the inputs for Cells B85 and B102 to, for example, 50%, and that would mean that half the IVMs would make ZEVs, and half would make PHEVs for compliance with the regulation.  </t>
  </si>
  <si>
    <t>ABOUT:</t>
  </si>
  <si>
    <t>https://ww3.arb.ca.gov/msprog/acc/mtr/appendix_a.pdf?_ga=2.135809265.1503454480.1576520488-895192167.1537387928</t>
  </si>
  <si>
    <t>California Air Resources Board                                                                                   Advanced Clean Cars                                                                                                        Zero Emission Vehicle (ZEV) Regulation Compliance Calculator</t>
  </si>
  <si>
    <t xml:space="preserve">California Air Resources Board (CARB) staff developed this calculator to assess the impact of the California Zero Emission </t>
  </si>
  <si>
    <t>Vehicle (ZEV) Regulation for model years 2018 through 2025.  By changing various inputs such as average vehicle electric</t>
  </si>
  <si>
    <t xml:space="preserve">range and number of manufacturers producing a certain type of technology, users can evaluate what exact compliance </t>
  </si>
  <si>
    <t xml:space="preserve">with the ZEV regulation would look like for each model year in California, and collectively in the Section 177 States.  For </t>
  </si>
  <si>
    <t xml:space="preserve">more information on how this tool was developed, and the three scenarios preprogrammed in calculator, see the following </t>
  </si>
  <si>
    <t>link:</t>
  </si>
  <si>
    <t>For further inquiries about this tool, contact:</t>
  </si>
  <si>
    <t>cleancars@arb.ca.gov</t>
  </si>
  <si>
    <t>2018</t>
  </si>
  <si>
    <t>2019</t>
  </si>
  <si>
    <t>2020</t>
  </si>
  <si>
    <t>2021</t>
  </si>
  <si>
    <t>2022</t>
  </si>
  <si>
    <t>2023</t>
  </si>
  <si>
    <t>2024</t>
  </si>
  <si>
    <t>2025</t>
  </si>
  <si>
    <t>Column1</t>
  </si>
  <si>
    <t>OEM</t>
  </si>
  <si>
    <t>End of Worksheet</t>
  </si>
  <si>
    <t>Section 177 State</t>
  </si>
  <si>
    <t>California</t>
  </si>
  <si>
    <t>State</t>
  </si>
  <si>
    <t>2026</t>
  </si>
  <si>
    <t>S177 Banked Credit Calculations</t>
  </si>
  <si>
    <t>S177 Banked Credit Inputs</t>
  </si>
  <si>
    <t>CA Banked Credits Inputs</t>
  </si>
  <si>
    <t>CA Banked Credits Calculations</t>
  </si>
  <si>
    <t>GHG Over-Compliance</t>
  </si>
  <si>
    <t>Historical PZEV, AT PZEV and NEV Credit Inputs</t>
  </si>
  <si>
    <t>2014</t>
  </si>
  <si>
    <t>2015</t>
  </si>
  <si>
    <t>2016</t>
  </si>
  <si>
    <t>2017</t>
  </si>
  <si>
    <t>Large Volume Manufacturer Market Share</t>
  </si>
  <si>
    <t>Intermediate Volume Manufacturer Market Share</t>
  </si>
  <si>
    <t>Manufacturer</t>
  </si>
  <si>
    <t xml:space="preserve">Manufacturer </t>
  </si>
  <si>
    <t>End of Sheet</t>
  </si>
  <si>
    <t>3.  In the Compliance Calculator Tabs, Cell A2, why is this row a collection of previous 3-year averages?</t>
  </si>
  <si>
    <t>4.  In the Compliance Calculator Tabs, Cell B10/11 through I10.11, why does this only represent an average market share from 3 of the S177 ZEV states?</t>
  </si>
  <si>
    <t>5.  In the Compliance Calculator Tabs, Why does it say "Min ZEV" and "Max TZEV"?</t>
  </si>
  <si>
    <t xml:space="preserve">6.  In the Compliance Calculator Tabs, Cell D61, D62, G61, D70, D71, and G70, what does "2026 margin" refer to and how is it used in calculating ZEV Credits? </t>
  </si>
  <si>
    <t>7.  In the Compliance Calculator Tabs, Cell A83-86, why is a main variable in the credit adjustments whether or not a manufacturer makes one or multiple technologies in a given model year?</t>
  </si>
  <si>
    <t xml:space="preserve">8.  In the Compliance Calculator Tabs, Cell A113-118, I thought the ZEV regulation was technology agnostic.  Why are manufacturers broken down by type of ZEV technology (BEV vs. FCEV)? </t>
  </si>
  <si>
    <t>9.  In the Compliance Calculator Tabs, Cell A125-137, what is a PHEV A vs. PHEV B?  Why does this matter?</t>
  </si>
  <si>
    <t xml:space="preserve">10.  In the Compliance Calculator Tabs, Why do is it assumed that no IVMs will make both ZEVs and TZEVs? </t>
  </si>
  <si>
    <t>Definitions and Acronyms</t>
  </si>
  <si>
    <t>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</si>
</sst>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0_);_(* \(#,##0\);_(* &quot;-&quot;??_);_(@_)"/>
    <numFmt numFmtId="165" formatCode="0.0%"/>
    <numFmt numFmtId="166" formatCode="&quot;$&quot;#,##0\ ;\(&quot;$&quot;#,##0\)"/>
    <numFmt numFmtId="167" formatCode="0.00_)"/>
    <numFmt numFmtId="168" formatCode="0.0"/>
  </numFmts>
  <fonts count="2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sz val="11"/>
      <color theme="0" tint="-0.34998626667073579"/>
      <name val="Calibri"/>
      <family val="2"/>
      <scheme val="minor"/>
    </font>
    <font>
      <b/>
      <i/>
      <sz val="11"/>
      <color theme="1"/>
      <name val="Calibri"/>
      <family val="2"/>
      <scheme val="minor"/>
    </font>
    <font>
      <sz val="10"/>
      <name val="Arial"/>
      <family val="2"/>
    </font>
    <font>
      <sz val="11"/>
      <color theme="0"/>
      <name val="Calibri"/>
      <family val="2"/>
      <scheme val="minor"/>
    </font>
    <font>
      <sz val="9"/>
      <color theme="1"/>
      <name val="Calibri"/>
      <family val="2"/>
      <scheme val="minor"/>
    </font>
    <font>
      <sz val="18"/>
      <color theme="1"/>
      <name val="Calibri"/>
      <family val="2"/>
      <scheme val="minor"/>
    </font>
    <font>
      <u/>
      <sz val="11"/>
      <color theme="10"/>
      <name val="Calibri"/>
      <family val="2"/>
      <scheme val="minor"/>
    </font>
    <font>
      <b/>
      <sz val="11"/>
      <color theme="0"/>
      <name val="Calibri"/>
      <family val="2"/>
      <scheme val="minor"/>
    </font>
    <font>
      <b/>
      <sz val="11"/>
      <name val="Calibri"/>
      <family val="2"/>
      <scheme val="minor"/>
    </font>
    <font>
      <b/>
      <i/>
      <sz val="11"/>
      <name val="Calibri"/>
      <family val="2"/>
      <scheme val="minor"/>
    </font>
    <font>
      <sz val="11"/>
      <color theme="0" tint="-0.14999847407452621"/>
      <name val="Calibri"/>
      <family val="2"/>
      <scheme val="minor"/>
    </font>
    <font>
      <sz val="11"/>
      <color theme="0" tint="-4.9989318521683403E-2"/>
      <name val="Calibri"/>
      <family val="2"/>
      <scheme val="minor"/>
    </font>
    <font>
      <sz val="11"/>
      <color theme="2" tint="-9.9978637043366805E-2"/>
      <name val="Calibri"/>
      <family val="2"/>
      <scheme val="minor"/>
    </font>
  </fonts>
  <fills count="39">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theme="8"/>
        <bgColor indexed="64"/>
      </patternFill>
    </fill>
    <fill>
      <patternFill patternType="solid">
        <fgColor theme="0" tint="-0.24994659260841701"/>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26"/>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1"/>
        <bgColor indexed="64"/>
      </patternFill>
    </fill>
    <fill>
      <patternFill patternType="solid">
        <fgColor theme="2" tint="-0.249977111117893"/>
        <bgColor indexed="64"/>
      </patternFill>
    </fill>
    <fill>
      <patternFill patternType="solid">
        <fgColor theme="4"/>
        <bgColor theme="4"/>
      </patternFill>
    </fill>
    <fill>
      <patternFill patternType="solid">
        <fgColor rgb="FFFFFF00"/>
        <bgColor theme="4" tint="0.79998168889431442"/>
      </patternFill>
    </fill>
  </fills>
  <borders count="72">
    <border>
      <left/>
      <right/>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double">
        <color indexed="64"/>
      </top>
      <bottom/>
      <diagonal/>
    </border>
    <border>
      <left style="medium">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medium">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thin">
        <color indexed="64"/>
      </top>
      <bottom style="hair">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diagonal/>
    </border>
    <border>
      <left style="thin">
        <color indexed="64"/>
      </left>
      <right style="medium">
        <color indexed="64"/>
      </right>
      <top/>
      <bottom/>
      <diagonal/>
    </border>
    <border>
      <left style="thin">
        <color indexed="64"/>
      </left>
      <right/>
      <top style="hair">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7">
    <xf numFmtId="0" fontId="0" fillId="0" borderId="0"/>
    <xf numFmtId="43" fontId="1" fillId="0" borderId="0" applyFont="0" applyFill="0" applyBorder="0" applyAlignment="0" applyProtection="0"/>
    <xf numFmtId="9"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3" fontId="6" fillId="0" borderId="0" applyFont="0" applyFill="0" applyBorder="0" applyAlignment="0" applyProtection="0"/>
    <xf numFmtId="166" fontId="6"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38" fontId="8" fillId="31"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0" fontId="8" fillId="32" borderId="7" applyNumberFormat="0" applyBorder="0" applyAlignment="0" applyProtection="0"/>
    <xf numFmtId="10" fontId="8" fillId="32" borderId="7" applyNumberFormat="0" applyBorder="0" applyAlignment="0" applyProtection="0"/>
    <xf numFmtId="10" fontId="8" fillId="32" borderId="7" applyNumberFormat="0" applyBorder="0" applyAlignment="0" applyProtection="0"/>
    <xf numFmtId="10" fontId="8" fillId="32" borderId="7" applyNumberFormat="0" applyBorder="0" applyAlignment="0" applyProtection="0"/>
    <xf numFmtId="10" fontId="8" fillId="32" borderId="7" applyNumberFormat="0" applyBorder="0" applyAlignment="0" applyProtection="0"/>
    <xf numFmtId="10" fontId="8" fillId="32" borderId="7" applyNumberFormat="0" applyBorder="0" applyAlignment="0" applyProtection="0"/>
    <xf numFmtId="167" fontId="11" fillId="0" borderId="0"/>
    <xf numFmtId="0" fontId="6"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6" fillId="0" borderId="0"/>
    <xf numFmtId="0" fontId="6"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13" fillId="0" borderId="0"/>
    <xf numFmtId="0" fontId="7" fillId="0" borderId="0"/>
    <xf numFmtId="0" fontId="7"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6" fillId="0" borderId="27" applyNumberFormat="0" applyFont="0" applyFill="0" applyAlignment="0" applyProtection="0"/>
    <xf numFmtId="0" fontId="15" fillId="0" borderId="0"/>
    <xf numFmtId="0" fontId="18" fillId="0" borderId="0"/>
    <xf numFmtId="9" fontId="18"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cellStyleXfs>
  <cellXfs count="576">
    <xf numFmtId="0" fontId="0" fillId="0" borderId="0" xfId="0"/>
    <xf numFmtId="0" fontId="3" fillId="2" borderId="0" xfId="0" applyFont="1" applyFill="1" applyAlignment="1">
      <alignment horizontal="center"/>
    </xf>
    <xf numFmtId="0" fontId="0" fillId="3" borderId="1" xfId="0" applyFill="1" applyBorder="1"/>
    <xf numFmtId="4" fontId="2" fillId="0" borderId="0" xfId="0" applyNumberFormat="1" applyFont="1"/>
    <xf numFmtId="10" fontId="2" fillId="0" borderId="0" xfId="0" applyNumberFormat="1" applyFont="1"/>
    <xf numFmtId="0" fontId="0" fillId="3" borderId="4" xfId="0" applyFill="1" applyBorder="1"/>
    <xf numFmtId="9" fontId="2" fillId="0" borderId="0" xfId="0" applyNumberFormat="1" applyFont="1"/>
    <xf numFmtId="0" fontId="0" fillId="3" borderId="5" xfId="0" applyFill="1" applyBorder="1"/>
    <xf numFmtId="164" fontId="0" fillId="3" borderId="7" xfId="1" applyNumberFormat="1" applyFont="1" applyFill="1" applyBorder="1"/>
    <xf numFmtId="165" fontId="2" fillId="0" borderId="0" xfId="0" applyNumberFormat="1" applyFont="1"/>
    <xf numFmtId="0" fontId="0" fillId="5" borderId="10" xfId="0" applyFill="1" applyBorder="1"/>
    <xf numFmtId="0" fontId="0" fillId="5" borderId="7" xfId="0" applyFill="1" applyBorder="1"/>
    <xf numFmtId="164" fontId="0" fillId="5" borderId="7" xfId="0" applyNumberFormat="1" applyFill="1" applyBorder="1"/>
    <xf numFmtId="165" fontId="1" fillId="8" borderId="7" xfId="2" applyNumberFormat="1" applyFont="1" applyFill="1" applyBorder="1" applyAlignment="1">
      <alignment horizontal="right"/>
    </xf>
    <xf numFmtId="165" fontId="0" fillId="8" borderId="7" xfId="0" applyNumberFormat="1" applyFont="1" applyFill="1" applyBorder="1" applyAlignment="1">
      <alignment horizontal="right"/>
    </xf>
    <xf numFmtId="165" fontId="0" fillId="8" borderId="7" xfId="0" applyNumberFormat="1" applyFill="1" applyBorder="1" applyAlignment="1">
      <alignment horizontal="right"/>
    </xf>
    <xf numFmtId="164" fontId="0" fillId="8" borderId="7" xfId="0" applyNumberFormat="1" applyFill="1" applyBorder="1"/>
    <xf numFmtId="9" fontId="0" fillId="11" borderId="7" xfId="0" applyNumberFormat="1" applyFill="1" applyBorder="1"/>
    <xf numFmtId="164" fontId="0" fillId="11" borderId="7" xfId="0" applyNumberFormat="1" applyFill="1" applyBorder="1"/>
    <xf numFmtId="9" fontId="0" fillId="13" borderId="7" xfId="0" applyNumberFormat="1" applyFill="1" applyBorder="1"/>
    <xf numFmtId="164" fontId="0" fillId="13" borderId="7" xfId="0" applyNumberFormat="1" applyFill="1" applyBorder="1"/>
    <xf numFmtId="164" fontId="0" fillId="15" borderId="7" xfId="0" applyNumberFormat="1" applyFill="1" applyBorder="1"/>
    <xf numFmtId="9" fontId="0" fillId="15" borderId="7" xfId="2" applyFont="1" applyFill="1" applyBorder="1"/>
    <xf numFmtId="43" fontId="0" fillId="0" borderId="0" xfId="0" applyNumberFormat="1"/>
    <xf numFmtId="0" fontId="0" fillId="17" borderId="7" xfId="0" applyFill="1" applyBorder="1"/>
    <xf numFmtId="164" fontId="0" fillId="17" borderId="7" xfId="0" applyNumberFormat="1" applyFill="1" applyBorder="1"/>
    <xf numFmtId="9" fontId="0" fillId="17" borderId="7" xfId="2" applyFont="1" applyFill="1" applyBorder="1"/>
    <xf numFmtId="1" fontId="2" fillId="0" borderId="0" xfId="0" applyNumberFormat="1" applyFont="1"/>
    <xf numFmtId="0" fontId="0" fillId="19" borderId="7" xfId="0" applyFill="1" applyBorder="1"/>
    <xf numFmtId="9" fontId="0" fillId="19" borderId="6" xfId="2" applyFont="1" applyFill="1" applyBorder="1"/>
    <xf numFmtId="9" fontId="0" fillId="19" borderId="7" xfId="2" applyFont="1" applyFill="1" applyBorder="1"/>
    <xf numFmtId="164" fontId="0" fillId="19" borderId="7" xfId="0" applyNumberFormat="1" applyFill="1" applyBorder="1"/>
    <xf numFmtId="0" fontId="0" fillId="21" borderId="7" xfId="0" applyFill="1" applyBorder="1"/>
    <xf numFmtId="0" fontId="0" fillId="21" borderId="0" xfId="0" applyFill="1" applyBorder="1"/>
    <xf numFmtId="164" fontId="0" fillId="8" borderId="8" xfId="0" applyNumberFormat="1" applyFill="1" applyBorder="1"/>
    <xf numFmtId="9" fontId="0" fillId="8" borderId="20" xfId="2" applyFont="1" applyFill="1" applyBorder="1"/>
    <xf numFmtId="9" fontId="0" fillId="8" borderId="7" xfId="2" applyFont="1" applyFill="1" applyBorder="1"/>
    <xf numFmtId="9" fontId="0" fillId="8" borderId="13" xfId="2" applyFont="1" applyFill="1" applyBorder="1"/>
    <xf numFmtId="9" fontId="0" fillId="8" borderId="6" xfId="2" applyFont="1" applyFill="1" applyBorder="1"/>
    <xf numFmtId="164" fontId="0" fillId="8" borderId="7" xfId="1" applyNumberFormat="1" applyFont="1" applyFill="1" applyBorder="1"/>
    <xf numFmtId="164" fontId="0" fillId="8" borderId="7" xfId="2" applyNumberFormat="1" applyFont="1" applyFill="1" applyBorder="1"/>
    <xf numFmtId="0" fontId="0" fillId="24" borderId="7" xfId="0" applyFill="1" applyBorder="1"/>
    <xf numFmtId="164" fontId="0" fillId="24" borderId="7" xfId="0" applyNumberFormat="1" applyFill="1" applyBorder="1"/>
    <xf numFmtId="164" fontId="0" fillId="24" borderId="8" xfId="0" applyNumberFormat="1" applyFill="1" applyBorder="1"/>
    <xf numFmtId="0" fontId="0" fillId="24" borderId="10" xfId="0" applyFill="1" applyBorder="1"/>
    <xf numFmtId="9" fontId="0" fillId="24" borderId="20" xfId="2" applyFont="1" applyFill="1" applyBorder="1"/>
    <xf numFmtId="9" fontId="0" fillId="24" borderId="7" xfId="2" applyFont="1" applyFill="1" applyBorder="1"/>
    <xf numFmtId="9" fontId="0" fillId="24" borderId="13" xfId="2" applyFont="1" applyFill="1" applyBorder="1"/>
    <xf numFmtId="9" fontId="0" fillId="24" borderId="6" xfId="2" applyFont="1" applyFill="1" applyBorder="1"/>
    <xf numFmtId="164" fontId="0" fillId="24" borderId="7" xfId="1" applyNumberFormat="1" applyFont="1" applyFill="1" applyBorder="1"/>
    <xf numFmtId="164" fontId="0" fillId="24" borderId="7" xfId="2" applyNumberFormat="1" applyFont="1" applyFill="1" applyBorder="1"/>
    <xf numFmtId="0" fontId="0" fillId="4" borderId="7" xfId="0" applyFill="1" applyBorder="1"/>
    <xf numFmtId="9" fontId="0" fillId="4" borderId="7" xfId="2" applyFont="1" applyFill="1" applyBorder="1"/>
    <xf numFmtId="164" fontId="0" fillId="9" borderId="7" xfId="0" applyNumberFormat="1" applyFill="1" applyBorder="1"/>
    <xf numFmtId="0" fontId="0" fillId="26" borderId="5" xfId="0" applyFill="1" applyBorder="1"/>
    <xf numFmtId="164" fontId="0" fillId="26" borderId="7" xfId="0" applyNumberFormat="1" applyFill="1" applyBorder="1"/>
    <xf numFmtId="164" fontId="0" fillId="3" borderId="7" xfId="0" applyNumberFormat="1" applyFill="1" applyBorder="1"/>
    <xf numFmtId="0" fontId="0" fillId="3" borderId="7" xfId="0" applyFill="1" applyBorder="1"/>
    <xf numFmtId="0" fontId="0" fillId="17" borderId="8" xfId="0" applyFill="1" applyBorder="1"/>
    <xf numFmtId="164" fontId="0" fillId="17" borderId="8" xfId="0" applyNumberFormat="1" applyFill="1" applyBorder="1"/>
    <xf numFmtId="164" fontId="0" fillId="26" borderId="7" xfId="1" applyNumberFormat="1" applyFont="1" applyFill="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3" fillId="28" borderId="22" xfId="0" applyFont="1" applyFill="1" applyBorder="1" applyAlignment="1">
      <alignment horizontal="centerContinuous" vertical="center"/>
    </xf>
    <xf numFmtId="0" fontId="0" fillId="28" borderId="24" xfId="0" applyFill="1" applyBorder="1" applyAlignment="1">
      <alignment horizontal="centerContinuous" vertical="center"/>
    </xf>
    <xf numFmtId="0" fontId="0" fillId="28" borderId="25" xfId="0" applyFill="1" applyBorder="1" applyAlignment="1">
      <alignment horizontal="centerContinuous" vertical="center"/>
    </xf>
    <xf numFmtId="0" fontId="16" fillId="0" borderId="0" xfId="0" applyFont="1"/>
    <xf numFmtId="43" fontId="16" fillId="0" borderId="0" xfId="0" applyNumberFormat="1" applyFont="1"/>
    <xf numFmtId="0" fontId="3" fillId="3" borderId="22" xfId="0" applyFont="1" applyFill="1" applyBorder="1" applyAlignment="1">
      <alignment horizontal="centerContinuous" vertical="center"/>
    </xf>
    <xf numFmtId="0" fontId="0" fillId="3" borderId="24" xfId="0" applyFill="1" applyBorder="1" applyAlignment="1">
      <alignment horizontal="centerContinuous" vertical="center"/>
    </xf>
    <xf numFmtId="0" fontId="0" fillId="3" borderId="25" xfId="0" applyFill="1" applyBorder="1" applyAlignment="1">
      <alignment horizontal="centerContinuous" vertical="center"/>
    </xf>
    <xf numFmtId="0" fontId="3" fillId="0" borderId="0" xfId="0" applyFont="1" applyAlignment="1">
      <alignment vertical="center"/>
    </xf>
    <xf numFmtId="0" fontId="0" fillId="29" borderId="28" xfId="0" applyFill="1" applyBorder="1" applyAlignment="1">
      <alignment vertical="center"/>
    </xf>
    <xf numFmtId="3" fontId="0" fillId="29" borderId="29" xfId="0" applyNumberFormat="1" applyFill="1" applyBorder="1" applyAlignment="1">
      <alignment vertical="center"/>
    </xf>
    <xf numFmtId="3" fontId="0" fillId="29" borderId="30" xfId="0" applyNumberFormat="1" applyFill="1" applyBorder="1" applyAlignment="1">
      <alignment vertical="center"/>
    </xf>
    <xf numFmtId="0" fontId="0" fillId="29" borderId="31" xfId="0" applyFill="1" applyBorder="1" applyAlignment="1">
      <alignment vertical="center"/>
    </xf>
    <xf numFmtId="3" fontId="0" fillId="29" borderId="32" xfId="0" applyNumberFormat="1" applyFill="1" applyBorder="1" applyAlignment="1">
      <alignment vertical="center"/>
    </xf>
    <xf numFmtId="3" fontId="0" fillId="29" borderId="33" xfId="0" applyNumberFormat="1" applyFill="1" applyBorder="1" applyAlignment="1">
      <alignment vertical="center"/>
    </xf>
    <xf numFmtId="0" fontId="0" fillId="29" borderId="34" xfId="0" applyFill="1" applyBorder="1" applyAlignment="1">
      <alignment vertical="center"/>
    </xf>
    <xf numFmtId="3" fontId="0" fillId="29" borderId="35" xfId="0" applyNumberFormat="1" applyFill="1" applyBorder="1" applyAlignment="1">
      <alignment vertical="center"/>
    </xf>
    <xf numFmtId="3" fontId="0" fillId="29" borderId="36" xfId="0" applyNumberFormat="1" applyFill="1" applyBorder="1" applyAlignment="1">
      <alignment vertical="center"/>
    </xf>
    <xf numFmtId="0" fontId="0" fillId="29" borderId="39" xfId="0" applyFill="1" applyBorder="1" applyAlignment="1">
      <alignment vertical="center"/>
    </xf>
    <xf numFmtId="3" fontId="0" fillId="29" borderId="29" xfId="0" applyNumberFormat="1" applyFill="1" applyBorder="1" applyAlignment="1">
      <alignment horizontal="right" vertical="center"/>
    </xf>
    <xf numFmtId="3" fontId="0" fillId="29" borderId="30" xfId="0" applyNumberFormat="1" applyFill="1" applyBorder="1" applyAlignment="1">
      <alignment horizontal="right" vertical="center"/>
    </xf>
    <xf numFmtId="0" fontId="0" fillId="29" borderId="40" xfId="0" applyFill="1" applyBorder="1" applyAlignment="1">
      <alignment vertical="center"/>
    </xf>
    <xf numFmtId="3" fontId="0" fillId="29" borderId="32" xfId="0" applyNumberFormat="1" applyFill="1" applyBorder="1" applyAlignment="1">
      <alignment horizontal="right" vertical="center"/>
    </xf>
    <xf numFmtId="3" fontId="0" fillId="29" borderId="33" xfId="0" applyNumberFormat="1" applyFill="1" applyBorder="1" applyAlignment="1">
      <alignment horizontal="right" vertical="center"/>
    </xf>
    <xf numFmtId="3" fontId="0" fillId="29" borderId="35" xfId="0" applyNumberFormat="1" applyFill="1" applyBorder="1" applyAlignment="1">
      <alignment horizontal="right" vertical="center"/>
    </xf>
    <xf numFmtId="3" fontId="0" fillId="29" borderId="36" xfId="0" applyNumberFormat="1" applyFill="1" applyBorder="1" applyAlignment="1">
      <alignment horizontal="right" vertical="center"/>
    </xf>
    <xf numFmtId="0" fontId="0" fillId="29" borderId="0" xfId="0" applyFill="1" applyBorder="1" applyAlignment="1">
      <alignment vertical="center"/>
    </xf>
    <xf numFmtId="3" fontId="0" fillId="29" borderId="0" xfId="0" applyNumberFormat="1" applyFill="1" applyBorder="1" applyAlignment="1">
      <alignment horizontal="right" vertical="center"/>
    </xf>
    <xf numFmtId="3" fontId="0" fillId="29" borderId="0" xfId="0" applyNumberFormat="1" applyFill="1" applyBorder="1" applyAlignment="1">
      <alignment vertical="center"/>
    </xf>
    <xf numFmtId="0" fontId="0" fillId="29" borderId="2" xfId="0" applyFill="1" applyBorder="1" applyAlignment="1">
      <alignment vertical="center"/>
    </xf>
    <xf numFmtId="3" fontId="0" fillId="29" borderId="6" xfId="0" applyNumberFormat="1" applyFill="1" applyBorder="1" applyAlignment="1">
      <alignment horizontal="right" vertical="center"/>
    </xf>
    <xf numFmtId="3" fontId="0" fillId="29" borderId="18" xfId="0" applyNumberFormat="1" applyFill="1" applyBorder="1" applyAlignment="1">
      <alignment horizontal="right" vertical="center"/>
    </xf>
    <xf numFmtId="3" fontId="0" fillId="29" borderId="41" xfId="0" applyNumberFormat="1" applyFill="1" applyBorder="1" applyAlignment="1">
      <alignment vertical="center"/>
    </xf>
    <xf numFmtId="0" fontId="0" fillId="4" borderId="10" xfId="0" applyFill="1" applyBorder="1"/>
    <xf numFmtId="0" fontId="0" fillId="3" borderId="43" xfId="0" applyFill="1" applyBorder="1"/>
    <xf numFmtId="0" fontId="0" fillId="5" borderId="1" xfId="0" applyFill="1" applyBorder="1" applyAlignment="1">
      <alignment horizontal="left"/>
    </xf>
    <xf numFmtId="164" fontId="0" fillId="3" borderId="10" xfId="1" applyNumberFormat="1" applyFont="1" applyFill="1" applyBorder="1"/>
    <xf numFmtId="165" fontId="0" fillId="5" borderId="7" xfId="2" applyNumberFormat="1" applyFont="1" applyFill="1" applyBorder="1"/>
    <xf numFmtId="165" fontId="0" fillId="5" borderId="10" xfId="2" applyNumberFormat="1" applyFont="1" applyFill="1" applyBorder="1"/>
    <xf numFmtId="1" fontId="5" fillId="4" borderId="7" xfId="0" applyNumberFormat="1" applyFont="1" applyFill="1" applyBorder="1"/>
    <xf numFmtId="168" fontId="5" fillId="4" borderId="7" xfId="0" applyNumberFormat="1" applyFont="1" applyFill="1" applyBorder="1"/>
    <xf numFmtId="0" fontId="5" fillId="4" borderId="7" xfId="0" applyFont="1" applyFill="1" applyBorder="1"/>
    <xf numFmtId="9" fontId="5" fillId="4" borderId="7" xfId="0" applyNumberFormat="1" applyFont="1" applyFill="1" applyBorder="1"/>
    <xf numFmtId="2" fontId="5" fillId="4" borderId="7" xfId="0" applyNumberFormat="1" applyFont="1" applyFill="1" applyBorder="1"/>
    <xf numFmtId="165" fontId="5" fillId="5" borderId="7" xfId="2" applyNumberFormat="1" applyFont="1" applyFill="1" applyBorder="1"/>
    <xf numFmtId="0" fontId="3" fillId="0" borderId="0" xfId="0" applyFont="1"/>
    <xf numFmtId="9" fontId="0" fillId="0" borderId="0" xfId="0" applyNumberFormat="1"/>
    <xf numFmtId="0" fontId="0" fillId="29" borderId="0" xfId="0" applyFill="1" applyBorder="1"/>
    <xf numFmtId="0" fontId="0" fillId="0" borderId="0" xfId="0" applyBorder="1"/>
    <xf numFmtId="9" fontId="0" fillId="21" borderId="7" xfId="2" applyFont="1" applyFill="1" applyBorder="1"/>
    <xf numFmtId="9" fontId="0" fillId="21" borderId="7" xfId="0" applyNumberFormat="1" applyFill="1" applyBorder="1"/>
    <xf numFmtId="164" fontId="0" fillId="21" borderId="7" xfId="0" applyNumberFormat="1" applyFill="1" applyBorder="1"/>
    <xf numFmtId="9" fontId="0" fillId="21" borderId="6" xfId="2" applyFont="1" applyFill="1" applyBorder="1"/>
    <xf numFmtId="9" fontId="0" fillId="21" borderId="6" xfId="0" applyNumberFormat="1" applyFill="1" applyBorder="1"/>
    <xf numFmtId="0" fontId="0" fillId="0" borderId="0" xfId="0"/>
    <xf numFmtId="9" fontId="0" fillId="3" borderId="7" xfId="2" applyFont="1" applyFill="1" applyBorder="1"/>
    <xf numFmtId="164" fontId="0" fillId="8" borderId="7" xfId="0" applyNumberFormat="1" applyFill="1" applyBorder="1"/>
    <xf numFmtId="164" fontId="0" fillId="0" borderId="0" xfId="0" applyNumberFormat="1"/>
    <xf numFmtId="164" fontId="0" fillId="26" borderId="10" xfId="1" applyNumberFormat="1" applyFont="1" applyFill="1" applyBorder="1"/>
    <xf numFmtId="165" fontId="0" fillId="26" borderId="10" xfId="2" applyNumberFormat="1" applyFont="1" applyFill="1" applyBorder="1"/>
    <xf numFmtId="43" fontId="0" fillId="26" borderId="10" xfId="1" applyNumberFormat="1" applyFont="1" applyFill="1" applyBorder="1"/>
    <xf numFmtId="164" fontId="0" fillId="26" borderId="10" xfId="0" applyNumberFormat="1" applyFill="1" applyBorder="1"/>
    <xf numFmtId="9" fontId="0" fillId="0" borderId="0" xfId="2" applyFont="1" applyAlignment="1">
      <alignment vertical="center"/>
    </xf>
    <xf numFmtId="9" fontId="0" fillId="0" borderId="0" xfId="2" applyFont="1"/>
    <xf numFmtId="0" fontId="0" fillId="0" borderId="0" xfId="0" applyFill="1" applyBorder="1"/>
    <xf numFmtId="1" fontId="2" fillId="0" borderId="0" xfId="0" applyNumberFormat="1" applyFont="1" applyFill="1" applyBorder="1"/>
    <xf numFmtId="0" fontId="0" fillId="0" borderId="0" xfId="0" applyFill="1"/>
    <xf numFmtId="0" fontId="3" fillId="34" borderId="46" xfId="0" applyFont="1" applyFill="1" applyBorder="1"/>
    <xf numFmtId="0" fontId="3" fillId="34" borderId="26" xfId="0" applyFont="1" applyFill="1" applyBorder="1"/>
    <xf numFmtId="0" fontId="3" fillId="34" borderId="0" xfId="0" applyFont="1" applyFill="1" applyBorder="1"/>
    <xf numFmtId="0" fontId="3" fillId="34" borderId="24" xfId="0" applyFont="1" applyFill="1" applyBorder="1"/>
    <xf numFmtId="0" fontId="3" fillId="34" borderId="47" xfId="0" applyFont="1" applyFill="1" applyBorder="1"/>
    <xf numFmtId="9" fontId="3" fillId="34" borderId="0" xfId="2" applyFont="1" applyFill="1" applyBorder="1" applyAlignment="1">
      <alignment horizontal="center"/>
    </xf>
    <xf numFmtId="0" fontId="3" fillId="34" borderId="0" xfId="0" applyFont="1" applyFill="1" applyBorder="1" applyAlignment="1">
      <alignment horizontal="center"/>
    </xf>
    <xf numFmtId="9" fontId="3" fillId="34" borderId="48" xfId="2" applyFont="1" applyFill="1" applyBorder="1" applyAlignment="1">
      <alignment horizontal="center"/>
    </xf>
    <xf numFmtId="9" fontId="0" fillId="0" borderId="0" xfId="0" applyNumberFormat="1" applyAlignment="1">
      <alignment horizontal="left" vertical="center"/>
    </xf>
    <xf numFmtId="1" fontId="0" fillId="4" borderId="7" xfId="0" applyNumberFormat="1" applyFill="1" applyBorder="1" applyAlignment="1">
      <alignment horizontal="right" vertical="center"/>
    </xf>
    <xf numFmtId="10" fontId="0" fillId="0" borderId="0" xfId="0" applyNumberFormat="1" applyAlignment="1">
      <alignment vertical="center"/>
    </xf>
    <xf numFmtId="10" fontId="0" fillId="0" borderId="0" xfId="0" applyNumberFormat="1" applyAlignment="1">
      <alignment horizontal="left" vertical="center"/>
    </xf>
    <xf numFmtId="0" fontId="0" fillId="33" borderId="6" xfId="0" applyFill="1" applyBorder="1" applyAlignment="1">
      <alignment horizontal="left"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6" xfId="0" applyFill="1" applyBorder="1" applyAlignment="1">
      <alignment horizontal="center" vertical="center"/>
    </xf>
    <xf numFmtId="164" fontId="0" fillId="26" borderId="13" xfId="0" applyNumberFormat="1" applyFill="1" applyBorder="1" applyAlignment="1">
      <alignment horizontal="center" vertical="center"/>
    </xf>
    <xf numFmtId="3" fontId="0" fillId="29" borderId="13" xfId="0" applyNumberFormat="1" applyFill="1" applyBorder="1" applyAlignment="1">
      <alignment horizontal="right" vertical="center"/>
    </xf>
    <xf numFmtId="164" fontId="0" fillId="26" borderId="0" xfId="0" applyNumberFormat="1" applyFill="1" applyBorder="1" applyAlignment="1">
      <alignment horizontal="center" vertical="center"/>
    </xf>
    <xf numFmtId="43" fontId="0" fillId="26" borderId="0" xfId="0" applyNumberFormat="1" applyFill="1" applyBorder="1" applyAlignment="1">
      <alignment horizontal="center" vertical="center"/>
    </xf>
    <xf numFmtId="3" fontId="0" fillId="29" borderId="50" xfId="0" applyNumberFormat="1" applyFill="1" applyBorder="1" applyAlignment="1">
      <alignment horizontal="right" vertical="center"/>
    </xf>
    <xf numFmtId="43" fontId="0" fillId="2" borderId="0" xfId="0" applyNumberForma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164" fontId="0" fillId="13" borderId="8" xfId="0" applyNumberFormat="1" applyFill="1" applyBorder="1"/>
    <xf numFmtId="0" fontId="0" fillId="5" borderId="8" xfId="0" applyFill="1" applyBorder="1"/>
    <xf numFmtId="164" fontId="0" fillId="5" borderId="8" xfId="0" applyNumberFormat="1" applyFill="1" applyBorder="1"/>
    <xf numFmtId="164" fontId="0" fillId="5" borderId="15" xfId="0" applyNumberFormat="1" applyFill="1" applyBorder="1"/>
    <xf numFmtId="164" fontId="0" fillId="15" borderId="8" xfId="0" applyNumberFormat="1" applyFill="1" applyBorder="1"/>
    <xf numFmtId="9" fontId="0" fillId="17" borderId="6" xfId="0" applyNumberFormat="1" applyFill="1" applyBorder="1"/>
    <xf numFmtId="164" fontId="0" fillId="21" borderId="8" xfId="0" applyNumberFormat="1" applyFill="1" applyBorder="1"/>
    <xf numFmtId="0" fontId="0" fillId="24" borderId="8" xfId="0" applyFill="1" applyBorder="1"/>
    <xf numFmtId="164" fontId="0" fillId="24" borderId="8" xfId="2" applyNumberFormat="1" applyFont="1" applyFill="1" applyBorder="1"/>
    <xf numFmtId="0" fontId="0" fillId="4" borderId="6" xfId="0" applyFill="1" applyBorder="1"/>
    <xf numFmtId="9" fontId="0" fillId="4" borderId="6" xfId="2" applyFont="1" applyFill="1" applyBorder="1"/>
    <xf numFmtId="164" fontId="0" fillId="9" borderId="6" xfId="0" applyNumberFormat="1" applyFill="1" applyBorder="1"/>
    <xf numFmtId="164" fontId="0" fillId="3" borderId="8" xfId="0" applyNumberFormat="1" applyFill="1" applyBorder="1"/>
    <xf numFmtId="10" fontId="0" fillId="9" borderId="7" xfId="2" applyNumberFormat="1" applyFont="1" applyFill="1" applyBorder="1"/>
    <xf numFmtId="0" fontId="0" fillId="3" borderId="8" xfId="0" applyFill="1" applyBorder="1"/>
    <xf numFmtId="164" fontId="19" fillId="0" borderId="0" xfId="0" applyNumberFormat="1" applyFont="1"/>
    <xf numFmtId="0" fontId="19" fillId="0" borderId="0" xfId="0" applyFont="1"/>
    <xf numFmtId="43" fontId="19" fillId="0" borderId="0" xfId="0" applyNumberFormat="1" applyFont="1"/>
    <xf numFmtId="0" fontId="0" fillId="26" borderId="2" xfId="0" applyFill="1" applyBorder="1"/>
    <xf numFmtId="164" fontId="0" fillId="26" borderId="6" xfId="0" applyNumberFormat="1" applyFill="1" applyBorder="1"/>
    <xf numFmtId="10" fontId="0" fillId="17" borderId="7" xfId="2" applyNumberFormat="1" applyFont="1" applyFill="1" applyBorder="1"/>
    <xf numFmtId="1" fontId="0" fillId="0" borderId="0" xfId="0" applyNumberFormat="1"/>
    <xf numFmtId="43" fontId="5" fillId="0" borderId="0" xfId="0" applyNumberFormat="1" applyFont="1"/>
    <xf numFmtId="3" fontId="0" fillId="0" borderId="0" xfId="0" applyNumberFormat="1" applyAlignment="1">
      <alignment vertical="center"/>
    </xf>
    <xf numFmtId="0" fontId="16" fillId="0" borderId="0" xfId="0" applyFont="1" applyFill="1" applyBorder="1"/>
    <xf numFmtId="164" fontId="0" fillId="0" borderId="0" xfId="0" applyNumberFormat="1" applyFill="1" applyBorder="1"/>
    <xf numFmtId="1" fontId="5" fillId="0" borderId="0" xfId="0" applyNumberFormat="1" applyFont="1" applyFill="1" applyBorder="1"/>
    <xf numFmtId="1" fontId="0" fillId="0" borderId="0" xfId="0" applyNumberFormat="1" applyFill="1" applyBorder="1"/>
    <xf numFmtId="164" fontId="16" fillId="0" borderId="0" xfId="0" applyNumberFormat="1" applyFont="1" applyFill="1" applyBorder="1"/>
    <xf numFmtId="43" fontId="16" fillId="0" borderId="0" xfId="0" applyNumberFormat="1" applyFont="1" applyFill="1" applyBorder="1"/>
    <xf numFmtId="0" fontId="0" fillId="29" borderId="55" xfId="0" applyFill="1" applyBorder="1" applyAlignment="1">
      <alignment vertical="center"/>
    </xf>
    <xf numFmtId="3" fontId="0" fillId="29" borderId="56" xfId="0" applyNumberFormat="1" applyFill="1" applyBorder="1" applyAlignment="1">
      <alignment horizontal="right" vertical="center"/>
    </xf>
    <xf numFmtId="3" fontId="0" fillId="29" borderId="57" xfId="0" applyNumberFormat="1" applyFill="1" applyBorder="1" applyAlignment="1">
      <alignment horizontal="right" vertical="center"/>
    </xf>
    <xf numFmtId="0" fontId="0" fillId="29" borderId="51" xfId="0" applyFill="1" applyBorder="1" applyAlignment="1">
      <alignment vertical="center"/>
    </xf>
    <xf numFmtId="164" fontId="0" fillId="26" borderId="41" xfId="0" applyNumberFormat="1" applyFill="1" applyBorder="1" applyAlignment="1">
      <alignment horizontal="center" vertical="center"/>
    </xf>
    <xf numFmtId="3" fontId="0" fillId="29" borderId="58" xfId="0" applyNumberFormat="1" applyFill="1" applyBorder="1" applyAlignment="1">
      <alignment horizontal="right" vertical="center"/>
    </xf>
    <xf numFmtId="43" fontId="0" fillId="2" borderId="8" xfId="0" applyNumberFormat="1" applyFill="1" applyBorder="1" applyAlignment="1">
      <alignment horizontal="center" vertical="center"/>
    </xf>
    <xf numFmtId="43" fontId="0" fillId="2" borderId="6" xfId="0" applyNumberFormat="1" applyFill="1" applyBorder="1" applyAlignment="1">
      <alignment horizontal="center" vertical="center"/>
    </xf>
    <xf numFmtId="10" fontId="1" fillId="8" borderId="7" xfId="2" applyNumberFormat="1" applyFont="1" applyFill="1" applyBorder="1" applyAlignment="1">
      <alignment horizontal="right"/>
    </xf>
    <xf numFmtId="164" fontId="0" fillId="5" borderId="7" xfId="1" applyNumberFormat="1" applyFont="1" applyFill="1" applyBorder="1"/>
    <xf numFmtId="164" fontId="0" fillId="5" borderId="10" xfId="1" applyNumberFormat="1" applyFont="1" applyFill="1" applyBorder="1"/>
    <xf numFmtId="165" fontId="1" fillId="3" borderId="7" xfId="2" applyNumberFormat="1" applyFont="1" applyFill="1" applyBorder="1" applyAlignment="1">
      <alignment horizontal="right"/>
    </xf>
    <xf numFmtId="9" fontId="0" fillId="11" borderId="6" xfId="0" applyNumberFormat="1" applyFill="1" applyBorder="1"/>
    <xf numFmtId="9" fontId="5" fillId="4" borderId="10" xfId="0" applyNumberFormat="1" applyFont="1" applyFill="1" applyBorder="1"/>
    <xf numFmtId="9" fontId="0" fillId="4" borderId="10" xfId="2" applyFont="1" applyFill="1" applyBorder="1"/>
    <xf numFmtId="9" fontId="0" fillId="4" borderId="18" xfId="2" applyFont="1" applyFill="1" applyBorder="1"/>
    <xf numFmtId="9" fontId="0" fillId="4" borderId="59" xfId="2" applyFont="1" applyFill="1" applyBorder="1"/>
    <xf numFmtId="9" fontId="0" fillId="4" borderId="20" xfId="2" applyFont="1" applyFill="1" applyBorder="1"/>
    <xf numFmtId="0" fontId="0" fillId="4" borderId="20" xfId="0" applyFill="1" applyBorder="1"/>
    <xf numFmtId="9" fontId="5" fillId="4" borderId="20" xfId="0" applyNumberFormat="1" applyFont="1" applyFill="1" applyBorder="1"/>
    <xf numFmtId="9" fontId="0" fillId="4" borderId="8" xfId="2" applyFont="1" applyFill="1" applyBorder="1"/>
    <xf numFmtId="1" fontId="5" fillId="4" borderId="8" xfId="0" applyNumberFormat="1" applyFont="1" applyFill="1" applyBorder="1"/>
    <xf numFmtId="9" fontId="5" fillId="4" borderId="8" xfId="0" applyNumberFormat="1" applyFont="1" applyFill="1" applyBorder="1"/>
    <xf numFmtId="9" fontId="0" fillId="4" borderId="6" xfId="2" applyFont="1" applyFill="1" applyBorder="1" applyAlignment="1">
      <alignment horizontal="right"/>
    </xf>
    <xf numFmtId="1" fontId="5" fillId="4" borderId="6" xfId="0" applyNumberFormat="1" applyFont="1" applyFill="1" applyBorder="1"/>
    <xf numFmtId="9" fontId="5" fillId="4" borderId="6" xfId="0" applyNumberFormat="1" applyFont="1" applyFill="1" applyBorder="1"/>
    <xf numFmtId="0" fontId="5" fillId="4" borderId="6" xfId="0" applyFont="1" applyFill="1" applyBorder="1"/>
    <xf numFmtId="1" fontId="0" fillId="4" borderId="6" xfId="0" applyNumberFormat="1" applyFill="1" applyBorder="1" applyAlignment="1">
      <alignment horizontal="right" vertical="center"/>
    </xf>
    <xf numFmtId="1" fontId="0" fillId="4" borderId="59" xfId="0" applyNumberFormat="1" applyFill="1" applyBorder="1" applyAlignment="1">
      <alignment horizontal="right" vertical="center"/>
    </xf>
    <xf numFmtId="0" fontId="0" fillId="33" borderId="21" xfId="0" applyFill="1" applyBorder="1" applyAlignment="1">
      <alignment horizontal="left" vertical="center"/>
    </xf>
    <xf numFmtId="2" fontId="0" fillId="4" borderId="7" xfId="0" applyNumberFormat="1" applyFill="1" applyBorder="1"/>
    <xf numFmtId="0" fontId="17" fillId="23" borderId="0" xfId="0" applyFont="1" applyFill="1" applyAlignment="1">
      <alignment horizontal="center"/>
    </xf>
    <xf numFmtId="0" fontId="17" fillId="20" borderId="0" xfId="0" applyFont="1" applyFill="1" applyBorder="1" applyAlignment="1">
      <alignment horizontal="center"/>
    </xf>
    <xf numFmtId="0" fontId="17" fillId="2" borderId="0" xfId="0" applyFont="1" applyFill="1" applyAlignment="1">
      <alignment horizontal="center"/>
    </xf>
    <xf numFmtId="164" fontId="0" fillId="0" borderId="0" xfId="1" applyNumberFormat="1" applyFont="1"/>
    <xf numFmtId="1" fontId="0" fillId="0" borderId="0" xfId="0" applyNumberFormat="1" applyAlignment="1">
      <alignment horizontal="center"/>
    </xf>
    <xf numFmtId="9" fontId="0" fillId="15" borderId="10" xfId="2" applyFont="1" applyFill="1" applyBorder="1"/>
    <xf numFmtId="164" fontId="0" fillId="15" borderId="18" xfId="0" applyNumberFormat="1" applyFill="1" applyBorder="1"/>
    <xf numFmtId="9" fontId="0" fillId="10" borderId="42" xfId="2" applyFont="1" applyFill="1" applyBorder="1" applyAlignment="1" applyProtection="1">
      <alignment horizontal="center"/>
      <protection locked="0"/>
    </xf>
    <xf numFmtId="9" fontId="0" fillId="10" borderId="42" xfId="0" applyNumberFormat="1" applyFill="1" applyBorder="1" applyAlignment="1" applyProtection="1">
      <alignment horizontal="center"/>
      <protection locked="0"/>
    </xf>
    <xf numFmtId="9" fontId="5" fillId="10" borderId="42" xfId="0" applyNumberFormat="1" applyFont="1" applyFill="1" applyBorder="1" applyAlignment="1" applyProtection="1">
      <alignment horizontal="center"/>
      <protection locked="0"/>
    </xf>
    <xf numFmtId="3" fontId="14" fillId="10" borderId="42" xfId="0" applyNumberFormat="1" applyFont="1" applyFill="1" applyBorder="1" applyAlignment="1" applyProtection="1">
      <alignment horizontal="center" vertical="center" wrapText="1"/>
      <protection locked="0"/>
    </xf>
    <xf numFmtId="9" fontId="0" fillId="10" borderId="44" xfId="2" applyFont="1" applyFill="1" applyBorder="1" applyAlignment="1" applyProtection="1">
      <alignment horizontal="center"/>
      <protection locked="0"/>
    </xf>
    <xf numFmtId="0" fontId="0" fillId="10" borderId="42" xfId="0" applyFill="1" applyBorder="1" applyAlignment="1" applyProtection="1">
      <alignment horizontal="center"/>
      <protection locked="0"/>
    </xf>
    <xf numFmtId="9" fontId="5" fillId="10" borderId="42" xfId="2" applyFont="1" applyFill="1" applyBorder="1" applyAlignment="1" applyProtection="1">
      <alignment horizontal="center"/>
      <protection locked="0"/>
    </xf>
    <xf numFmtId="0" fontId="5" fillId="10" borderId="42" xfId="0" applyFont="1" applyFill="1" applyBorder="1" applyAlignment="1" applyProtection="1">
      <alignment horizontal="center"/>
      <protection locked="0"/>
    </xf>
    <xf numFmtId="9" fontId="0" fillId="10" borderId="44" xfId="0" applyNumberFormat="1" applyFill="1" applyBorder="1" applyAlignment="1" applyProtection="1">
      <alignment horizontal="center" vertical="center"/>
      <protection locked="0"/>
    </xf>
    <xf numFmtId="9" fontId="0" fillId="10" borderId="42" xfId="0" applyNumberFormat="1" applyFill="1" applyBorder="1" applyAlignment="1" applyProtection="1">
      <alignment horizontal="center" vertical="center"/>
      <protection locked="0"/>
    </xf>
    <xf numFmtId="165" fontId="0" fillId="10" borderId="42" xfId="2" applyNumberFormat="1" applyFont="1" applyFill="1" applyBorder="1" applyAlignment="1" applyProtection="1">
      <alignment horizontal="center" vertical="center"/>
      <protection locked="0"/>
    </xf>
    <xf numFmtId="0" fontId="0" fillId="10" borderId="42" xfId="0" applyFill="1" applyBorder="1" applyAlignment="1" applyProtection="1">
      <alignment horizontal="center" vertical="center"/>
      <protection locked="0"/>
    </xf>
    <xf numFmtId="164" fontId="0" fillId="26" borderId="8" xfId="0" applyNumberFormat="1" applyFill="1" applyBorder="1" applyAlignment="1">
      <alignment horizontal="center" vertical="center"/>
    </xf>
    <xf numFmtId="164" fontId="0" fillId="26" borderId="6" xfId="0" applyNumberFormat="1" applyFill="1" applyBorder="1" applyAlignment="1">
      <alignment horizontal="center" vertical="center"/>
    </xf>
    <xf numFmtId="0" fontId="21" fillId="0" borderId="0" xfId="0" applyFont="1" applyAlignment="1">
      <alignment horizontal="center" wrapText="1"/>
    </xf>
    <xf numFmtId="0" fontId="0" fillId="0" borderId="0" xfId="0" applyAlignment="1">
      <alignment wrapText="1"/>
    </xf>
    <xf numFmtId="0" fontId="0" fillId="29" borderId="44" xfId="0" applyFill="1" applyBorder="1"/>
    <xf numFmtId="0" fontId="0" fillId="29" borderId="11" xfId="0" applyFill="1" applyBorder="1"/>
    <xf numFmtId="0" fontId="22" fillId="29" borderId="11" xfId="106" applyFill="1" applyBorder="1"/>
    <xf numFmtId="0" fontId="22" fillId="29" borderId="12" xfId="106" applyFill="1" applyBorder="1"/>
    <xf numFmtId="0" fontId="0" fillId="4" borderId="59" xfId="0" applyFill="1" applyBorder="1" applyAlignment="1">
      <alignment horizontal="left" vertical="center"/>
    </xf>
    <xf numFmtId="0" fontId="0" fillId="4" borderId="20" xfId="0" applyFill="1" applyBorder="1" applyAlignment="1">
      <alignment horizontal="left" vertical="center"/>
    </xf>
    <xf numFmtId="9" fontId="0" fillId="10" borderId="45" xfId="0" applyNumberFormat="1" applyFill="1" applyBorder="1" applyAlignment="1" applyProtection="1">
      <alignment horizontal="center" vertical="center"/>
      <protection locked="0"/>
    </xf>
    <xf numFmtId="1" fontId="0" fillId="4" borderId="62" xfId="0" applyNumberFormat="1" applyFill="1" applyBorder="1" applyAlignment="1">
      <alignment horizontal="right" vertical="center"/>
    </xf>
    <xf numFmtId="1" fontId="0" fillId="4" borderId="10" xfId="0" applyNumberFormat="1" applyFill="1" applyBorder="1" applyAlignment="1">
      <alignment horizontal="right" vertical="center"/>
    </xf>
    <xf numFmtId="0" fontId="0" fillId="4" borderId="63" xfId="0" applyFill="1" applyBorder="1" applyAlignment="1">
      <alignment horizontal="left" vertical="center"/>
    </xf>
    <xf numFmtId="165" fontId="0" fillId="10" borderId="44" xfId="2" applyNumberFormat="1" applyFont="1" applyFill="1" applyBorder="1" applyAlignment="1" applyProtection="1">
      <alignment horizontal="center" vertical="center"/>
      <protection locked="0"/>
    </xf>
    <xf numFmtId="0" fontId="0" fillId="10" borderId="44" xfId="0" applyFill="1" applyBorder="1" applyAlignment="1" applyProtection="1">
      <alignment horizontal="center" vertical="center"/>
      <protection locked="0"/>
    </xf>
    <xf numFmtId="1" fontId="0" fillId="4" borderId="13" xfId="0" applyNumberFormat="1" applyFill="1" applyBorder="1" applyAlignment="1">
      <alignment horizontal="right" vertical="center"/>
    </xf>
    <xf numFmtId="1" fontId="0" fillId="4" borderId="21" xfId="0" applyNumberFormat="1" applyFill="1" applyBorder="1" applyAlignment="1">
      <alignment horizontal="right" vertical="center"/>
    </xf>
    <xf numFmtId="0" fontId="0" fillId="4" borderId="19" xfId="0" applyFill="1" applyBorder="1" applyAlignment="1">
      <alignment horizontal="left" vertical="center"/>
    </xf>
    <xf numFmtId="0" fontId="0" fillId="29" borderId="64" xfId="0" applyFill="1" applyBorder="1" applyAlignment="1">
      <alignment vertical="center"/>
    </xf>
    <xf numFmtId="0" fontId="0" fillId="29" borderId="65" xfId="0" applyFill="1" applyBorder="1" applyAlignment="1">
      <alignment vertical="center"/>
    </xf>
    <xf numFmtId="0" fontId="0" fillId="29" borderId="66" xfId="0" applyFill="1" applyBorder="1" applyAlignment="1">
      <alignment vertical="center"/>
    </xf>
    <xf numFmtId="0" fontId="0" fillId="29" borderId="52" xfId="0" applyFill="1" applyBorder="1" applyAlignment="1">
      <alignment vertical="center"/>
    </xf>
    <xf numFmtId="0" fontId="0" fillId="29" borderId="53" xfId="0" applyFill="1" applyBorder="1" applyAlignment="1">
      <alignment vertical="center"/>
    </xf>
    <xf numFmtId="3" fontId="0" fillId="29" borderId="28" xfId="0" applyNumberFormat="1" applyFill="1" applyBorder="1" applyAlignment="1">
      <alignment vertical="center"/>
    </xf>
    <xf numFmtId="3" fontId="0" fillId="29" borderId="31" xfId="0" applyNumberFormat="1" applyFill="1" applyBorder="1" applyAlignment="1">
      <alignment vertical="center"/>
    </xf>
    <xf numFmtId="3" fontId="0" fillId="29" borderId="34" xfId="0" applyNumberFormat="1" applyFill="1" applyBorder="1" applyAlignment="1">
      <alignment vertical="center"/>
    </xf>
    <xf numFmtId="3" fontId="0" fillId="29" borderId="26" xfId="0" applyNumberFormat="1" applyFill="1" applyBorder="1" applyAlignment="1">
      <alignment vertical="center"/>
    </xf>
    <xf numFmtId="0" fontId="0" fillId="29" borderId="63" xfId="0" applyFill="1" applyBorder="1" applyAlignment="1">
      <alignment vertical="center"/>
    </xf>
    <xf numFmtId="0" fontId="0" fillId="29" borderId="67" xfId="0" applyFill="1" applyBorder="1" applyAlignment="1">
      <alignment vertical="center"/>
    </xf>
    <xf numFmtId="0" fontId="0" fillId="29" borderId="0" xfId="0" applyFill="1" applyAlignment="1">
      <alignment vertical="center"/>
    </xf>
    <xf numFmtId="0" fontId="3" fillId="34" borderId="25" xfId="0" applyFont="1" applyFill="1" applyBorder="1"/>
    <xf numFmtId="9" fontId="3" fillId="34" borderId="9" xfId="2" applyFont="1" applyFill="1" applyBorder="1" applyAlignment="1">
      <alignment horizontal="center"/>
    </xf>
    <xf numFmtId="0" fontId="3" fillId="34" borderId="9" xfId="0" applyFont="1" applyFill="1" applyBorder="1" applyAlignment="1">
      <alignment horizontal="center"/>
    </xf>
    <xf numFmtId="9" fontId="3" fillId="34" borderId="14" xfId="2" applyFont="1" applyFill="1" applyBorder="1" applyAlignment="1">
      <alignment horizontal="center"/>
    </xf>
    <xf numFmtId="0" fontId="3" fillId="35" borderId="0" xfId="0" applyFont="1" applyFill="1" applyBorder="1"/>
    <xf numFmtId="0" fontId="3" fillId="35" borderId="0" xfId="0" applyFont="1" applyFill="1" applyBorder="1" applyAlignment="1">
      <alignment horizontal="center"/>
    </xf>
    <xf numFmtId="0" fontId="3" fillId="35" borderId="0" xfId="0" applyFont="1" applyFill="1" applyBorder="1" applyAlignment="1">
      <alignment horizontal="left"/>
    </xf>
    <xf numFmtId="3" fontId="0" fillId="29" borderId="68" xfId="0" applyNumberFormat="1" applyFill="1" applyBorder="1" applyAlignment="1">
      <alignment horizontal="right" vertical="center"/>
    </xf>
    <xf numFmtId="164" fontId="0" fillId="26" borderId="56" xfId="0" applyNumberFormat="1" applyFill="1" applyBorder="1" applyAlignment="1">
      <alignment horizontal="center" vertical="center"/>
    </xf>
    <xf numFmtId="3" fontId="0" fillId="29" borderId="69" xfId="0" applyNumberFormat="1" applyFill="1" applyBorder="1" applyAlignment="1">
      <alignment horizontal="right" vertical="center"/>
    </xf>
    <xf numFmtId="0" fontId="0" fillId="0" borderId="26" xfId="0" applyBorder="1" applyAlignment="1">
      <alignment vertical="center"/>
    </xf>
    <xf numFmtId="3" fontId="0" fillId="29" borderId="64" xfId="0" applyNumberFormat="1" applyFill="1" applyBorder="1" applyAlignment="1">
      <alignment vertical="center"/>
    </xf>
    <xf numFmtId="3" fontId="0" fillId="29" borderId="65" xfId="0" applyNumberFormat="1" applyFill="1" applyBorder="1" applyAlignment="1">
      <alignment vertical="center"/>
    </xf>
    <xf numFmtId="3" fontId="0" fillId="29" borderId="66" xfId="0" applyNumberFormat="1" applyFill="1" applyBorder="1" applyAlignment="1">
      <alignment vertical="center"/>
    </xf>
    <xf numFmtId="0" fontId="19" fillId="29" borderId="0" xfId="0" applyFont="1" applyFill="1" applyAlignment="1">
      <alignment vertical="center"/>
    </xf>
    <xf numFmtId="0" fontId="0" fillId="29" borderId="0" xfId="0" applyFill="1"/>
    <xf numFmtId="0" fontId="3" fillId="0" borderId="0" xfId="0" applyFont="1" applyFill="1" applyAlignment="1">
      <alignment horizontal="center"/>
    </xf>
    <xf numFmtId="0" fontId="19" fillId="0" borderId="16" xfId="0" applyFont="1" applyFill="1" applyBorder="1"/>
    <xf numFmtId="0" fontId="24" fillId="2" borderId="0" xfId="0" applyFont="1" applyFill="1" applyAlignment="1">
      <alignment horizontal="center"/>
    </xf>
    <xf numFmtId="9" fontId="0" fillId="10" borderId="12" xfId="2" applyFont="1" applyFill="1" applyBorder="1" applyAlignment="1" applyProtection="1">
      <alignment horizontal="center"/>
      <protection locked="0"/>
    </xf>
    <xf numFmtId="9" fontId="0" fillId="10" borderId="12" xfId="0" applyNumberFormat="1" applyFill="1" applyBorder="1" applyAlignment="1" applyProtection="1">
      <alignment horizontal="center"/>
      <protection locked="0"/>
    </xf>
    <xf numFmtId="9" fontId="5" fillId="10" borderId="12" xfId="0" applyNumberFormat="1" applyFont="1" applyFill="1" applyBorder="1" applyAlignment="1" applyProtection="1">
      <alignment horizontal="center"/>
      <protection locked="0"/>
    </xf>
    <xf numFmtId="3" fontId="14" fillId="10" borderId="11" xfId="0" applyNumberFormat="1" applyFont="1" applyFill="1" applyBorder="1" applyAlignment="1" applyProtection="1">
      <alignment horizontal="center" vertical="center" wrapText="1"/>
      <protection locked="0"/>
    </xf>
    <xf numFmtId="0" fontId="3" fillId="20" borderId="7" xfId="0" applyFont="1" applyFill="1" applyBorder="1" applyAlignment="1">
      <alignment horizontal="center"/>
    </xf>
    <xf numFmtId="0" fontId="3" fillId="23" borderId="7" xfId="0" applyFont="1" applyFill="1" applyBorder="1" applyAlignment="1">
      <alignment horizontal="center"/>
    </xf>
    <xf numFmtId="0" fontId="3" fillId="35" borderId="26" xfId="0" applyFont="1" applyFill="1" applyBorder="1"/>
    <xf numFmtId="0" fontId="3" fillId="35" borderId="9" xfId="0" applyFont="1" applyFill="1" applyBorder="1"/>
    <xf numFmtId="0" fontId="3" fillId="35" borderId="9" xfId="0" applyFont="1" applyFill="1" applyBorder="1" applyAlignment="1">
      <alignment horizontal="left"/>
    </xf>
    <xf numFmtId="0" fontId="0" fillId="0" borderId="59" xfId="0" applyBorder="1"/>
    <xf numFmtId="0" fontId="23" fillId="37" borderId="18" xfId="0" applyFont="1" applyFill="1" applyBorder="1" applyAlignment="1">
      <alignment horizontal="center"/>
    </xf>
    <xf numFmtId="0" fontId="0" fillId="0" borderId="20" xfId="0" applyBorder="1"/>
    <xf numFmtId="0" fontId="0" fillId="0" borderId="17" xfId="0" applyBorder="1"/>
    <xf numFmtId="165" fontId="0" fillId="38" borderId="10" xfId="0" applyNumberFormat="1" applyFont="1" applyFill="1" applyBorder="1"/>
    <xf numFmtId="165" fontId="0" fillId="10" borderId="15" xfId="0" applyNumberFormat="1" applyFont="1" applyFill="1" applyBorder="1"/>
    <xf numFmtId="0" fontId="24" fillId="4" borderId="6" xfId="0" applyFont="1" applyFill="1" applyBorder="1" applyAlignment="1">
      <alignment horizontal="center"/>
    </xf>
    <xf numFmtId="9" fontId="19" fillId="0" borderId="0" xfId="0" applyNumberFormat="1" applyFont="1"/>
    <xf numFmtId="164" fontId="0" fillId="26" borderId="6" xfId="1" applyNumberFormat="1" applyFont="1" applyFill="1" applyBorder="1"/>
    <xf numFmtId="164" fontId="0" fillId="26" borderId="8" xfId="1" applyNumberFormat="1" applyFont="1" applyFill="1" applyBorder="1"/>
    <xf numFmtId="0" fontId="25" fillId="2" borderId="0" xfId="0" applyFont="1" applyFill="1" applyAlignment="1">
      <alignment horizontal="center"/>
    </xf>
    <xf numFmtId="0" fontId="24" fillId="26" borderId="0" xfId="0" applyFont="1" applyFill="1" applyAlignment="1">
      <alignment horizontal="center"/>
    </xf>
    <xf numFmtId="9" fontId="0" fillId="10" borderId="7" xfId="2" applyFont="1" applyFill="1" applyBorder="1" applyAlignment="1" applyProtection="1">
      <alignment horizontal="center"/>
      <protection locked="0"/>
    </xf>
    <xf numFmtId="0" fontId="25" fillId="4" borderId="6" xfId="0" applyFont="1" applyFill="1" applyBorder="1" applyAlignment="1">
      <alignment horizontal="center"/>
    </xf>
    <xf numFmtId="164" fontId="0" fillId="17" borderId="10" xfId="0" applyNumberFormat="1" applyFill="1" applyBorder="1"/>
    <xf numFmtId="164" fontId="0" fillId="8" borderId="10" xfId="0" applyNumberFormat="1" applyFill="1" applyBorder="1"/>
    <xf numFmtId="164" fontId="0" fillId="0" borderId="21" xfId="0" applyNumberFormat="1" applyFill="1" applyBorder="1"/>
    <xf numFmtId="10" fontId="0" fillId="17" borderId="10" xfId="2" applyNumberFormat="1" applyFont="1" applyFill="1" applyBorder="1"/>
    <xf numFmtId="0" fontId="0" fillId="3" borderId="10" xfId="0" applyFill="1" applyBorder="1"/>
    <xf numFmtId="164" fontId="0" fillId="3" borderId="10" xfId="0" applyNumberFormat="1" applyFill="1" applyBorder="1"/>
    <xf numFmtId="0" fontId="17" fillId="27" borderId="18" xfId="0" applyFont="1" applyFill="1" applyBorder="1" applyAlignment="1">
      <alignment horizontal="center"/>
    </xf>
    <xf numFmtId="0" fontId="3" fillId="27" borderId="6" xfId="0" applyFont="1" applyFill="1" applyBorder="1" applyAlignment="1">
      <alignment horizontal="center"/>
    </xf>
    <xf numFmtId="0" fontId="3" fillId="27" borderId="18" xfId="0" applyFont="1" applyFill="1" applyBorder="1" applyAlignment="1">
      <alignment horizontal="center"/>
    </xf>
    <xf numFmtId="0" fontId="0" fillId="9" borderId="59" xfId="0" applyFill="1" applyBorder="1"/>
    <xf numFmtId="0" fontId="0" fillId="9" borderId="20" xfId="0" applyFill="1" applyBorder="1"/>
    <xf numFmtId="0" fontId="0" fillId="26" borderId="20" xfId="0" applyFill="1" applyBorder="1"/>
    <xf numFmtId="0" fontId="0" fillId="3" borderId="20" xfId="0" applyFill="1" applyBorder="1"/>
    <xf numFmtId="0" fontId="0" fillId="3" borderId="17" xfId="0" applyFill="1" applyBorder="1"/>
    <xf numFmtId="164" fontId="0" fillId="9" borderId="18" xfId="0" applyNumberFormat="1" applyFill="1" applyBorder="1"/>
    <xf numFmtId="164" fontId="0" fillId="9" borderId="10" xfId="0" applyNumberFormat="1" applyFill="1" applyBorder="1"/>
    <xf numFmtId="10" fontId="0" fillId="9" borderId="10" xfId="2" applyNumberFormat="1" applyFont="1" applyFill="1" applyBorder="1"/>
    <xf numFmtId="164" fontId="0" fillId="3" borderId="15" xfId="0" applyNumberFormat="1" applyFill="1" applyBorder="1"/>
    <xf numFmtId="0" fontId="17" fillId="12" borderId="3" xfId="0" applyFont="1" applyFill="1" applyBorder="1" applyAlignment="1">
      <alignment horizontal="center"/>
    </xf>
    <xf numFmtId="0" fontId="3" fillId="12" borderId="6" xfId="0" applyFont="1" applyFill="1" applyBorder="1" applyAlignment="1">
      <alignment horizontal="center"/>
    </xf>
    <xf numFmtId="0" fontId="3" fillId="12" borderId="18" xfId="0" applyFont="1" applyFill="1" applyBorder="1" applyAlignment="1">
      <alignment horizontal="center"/>
    </xf>
    <xf numFmtId="0" fontId="0" fillId="4" borderId="3" xfId="0" applyFill="1" applyBorder="1"/>
    <xf numFmtId="0" fontId="0" fillId="4" borderId="19" xfId="0" applyFill="1" applyBorder="1"/>
    <xf numFmtId="0" fontId="17" fillId="25" borderId="3" xfId="0" applyFont="1" applyFill="1" applyBorder="1" applyAlignment="1">
      <alignment horizontal="center"/>
    </xf>
    <xf numFmtId="0" fontId="3" fillId="25" borderId="6" xfId="0" applyFont="1" applyFill="1" applyBorder="1" applyAlignment="1">
      <alignment horizontal="center"/>
    </xf>
    <xf numFmtId="0" fontId="0" fillId="4" borderId="17" xfId="0" applyFill="1" applyBorder="1"/>
    <xf numFmtId="2" fontId="0" fillId="4" borderId="8" xfId="0" applyNumberFormat="1" applyFill="1" applyBorder="1"/>
    <xf numFmtId="0" fontId="3" fillId="23" borderId="10" xfId="0" applyFont="1" applyFill="1" applyBorder="1" applyAlignment="1">
      <alignment horizontal="center"/>
    </xf>
    <xf numFmtId="164" fontId="0" fillId="24" borderId="10" xfId="0" applyNumberFormat="1" applyFill="1" applyBorder="1"/>
    <xf numFmtId="164" fontId="0" fillId="24" borderId="15" xfId="0" applyNumberFormat="1" applyFill="1" applyBorder="1"/>
    <xf numFmtId="9" fontId="0" fillId="24" borderId="10" xfId="2" applyFont="1" applyFill="1" applyBorder="1"/>
    <xf numFmtId="164" fontId="0" fillId="24" borderId="10" xfId="1" applyNumberFormat="1" applyFont="1" applyFill="1" applyBorder="1"/>
    <xf numFmtId="164" fontId="0" fillId="24" borderId="10" xfId="2" applyNumberFormat="1" applyFont="1" applyFill="1" applyBorder="1"/>
    <xf numFmtId="164" fontId="0" fillId="24" borderId="15" xfId="2" applyNumberFormat="1" applyFont="1" applyFill="1" applyBorder="1"/>
    <xf numFmtId="164" fontId="0" fillId="8" borderId="8" xfId="2" applyNumberFormat="1" applyFont="1" applyFill="1" applyBorder="1"/>
    <xf numFmtId="0" fontId="0" fillId="8" borderId="20" xfId="0" applyFill="1" applyBorder="1"/>
    <xf numFmtId="0" fontId="0" fillId="8" borderId="19" xfId="0" applyFill="1" applyBorder="1"/>
    <xf numFmtId="0" fontId="0" fillId="8" borderId="17" xfId="0" applyFill="1" applyBorder="1"/>
    <xf numFmtId="0" fontId="17" fillId="22" borderId="3" xfId="0" applyFont="1" applyFill="1" applyBorder="1" applyAlignment="1">
      <alignment horizontal="center"/>
    </xf>
    <xf numFmtId="0" fontId="3" fillId="22" borderId="6" xfId="0" applyFont="1" applyFill="1" applyBorder="1" applyAlignment="1">
      <alignment horizontal="center"/>
    </xf>
    <xf numFmtId="0" fontId="0" fillId="19" borderId="8" xfId="0" applyFill="1" applyBorder="1"/>
    <xf numFmtId="164" fontId="0" fillId="19" borderId="8" xfId="0" applyNumberFormat="1" applyFill="1" applyBorder="1"/>
    <xf numFmtId="0" fontId="3" fillId="20" borderId="10" xfId="0" applyFont="1" applyFill="1" applyBorder="1" applyAlignment="1">
      <alignment horizontal="center"/>
    </xf>
    <xf numFmtId="9" fontId="0" fillId="21" borderId="18" xfId="0" applyNumberFormat="1" applyFill="1" applyBorder="1"/>
    <xf numFmtId="9" fontId="0" fillId="21" borderId="10" xfId="0" applyNumberFormat="1" applyFill="1" applyBorder="1"/>
    <xf numFmtId="164" fontId="0" fillId="21" borderId="10" xfId="0" applyNumberFormat="1" applyFill="1" applyBorder="1"/>
    <xf numFmtId="9" fontId="0" fillId="21" borderId="10" xfId="2" applyFont="1" applyFill="1" applyBorder="1"/>
    <xf numFmtId="164" fontId="0" fillId="21" borderId="15" xfId="0" applyNumberFormat="1" applyFill="1" applyBorder="1"/>
    <xf numFmtId="9" fontId="0" fillId="19" borderId="18" xfId="2" applyFont="1" applyFill="1" applyBorder="1"/>
    <xf numFmtId="164" fontId="0" fillId="19" borderId="10" xfId="0" applyNumberFormat="1" applyFill="1" applyBorder="1"/>
    <xf numFmtId="9" fontId="0" fillId="19" borderId="10" xfId="2" applyFont="1" applyFill="1" applyBorder="1"/>
    <xf numFmtId="0" fontId="17" fillId="18" borderId="3" xfId="0" applyFont="1" applyFill="1" applyBorder="1" applyAlignment="1">
      <alignment horizontal="center"/>
    </xf>
    <xf numFmtId="0" fontId="3" fillId="18" borderId="6" xfId="0" applyFont="1" applyFill="1" applyBorder="1" applyAlignment="1">
      <alignment horizontal="center"/>
    </xf>
    <xf numFmtId="0" fontId="3" fillId="18" borderId="18" xfId="0" applyFont="1" applyFill="1" applyBorder="1" applyAlignment="1">
      <alignment horizontal="center"/>
    </xf>
    <xf numFmtId="9" fontId="5" fillId="6" borderId="59" xfId="0" applyNumberFormat="1" applyFont="1" applyFill="1" applyBorder="1" applyAlignment="1">
      <alignment horizontal="right"/>
    </xf>
    <xf numFmtId="9" fontId="5" fillId="6" borderId="6" xfId="0" applyNumberFormat="1" applyFont="1" applyFill="1" applyBorder="1" applyAlignment="1">
      <alignment horizontal="right"/>
    </xf>
    <xf numFmtId="9" fontId="5" fillId="6" borderId="20" xfId="0" applyNumberFormat="1" applyFont="1" applyFill="1" applyBorder="1" applyAlignment="1">
      <alignment horizontal="right"/>
    </xf>
    <xf numFmtId="9" fontId="5" fillId="6" borderId="7" xfId="0" applyNumberFormat="1" applyFont="1" applyFill="1" applyBorder="1" applyAlignment="1">
      <alignment horizontal="right"/>
    </xf>
    <xf numFmtId="0" fontId="0" fillId="17" borderId="59" xfId="0" applyFill="1" applyBorder="1"/>
    <xf numFmtId="0" fontId="0" fillId="17" borderId="20" xfId="0" applyFill="1" applyBorder="1"/>
    <xf numFmtId="0" fontId="0" fillId="17" borderId="17" xfId="0" applyFill="1" applyBorder="1"/>
    <xf numFmtId="9" fontId="0" fillId="17" borderId="18" xfId="0" applyNumberFormat="1" applyFill="1" applyBorder="1"/>
    <xf numFmtId="9" fontId="0" fillId="17" borderId="10" xfId="2" applyFont="1" applyFill="1" applyBorder="1"/>
    <xf numFmtId="0" fontId="17" fillId="16" borderId="3" xfId="0" applyFont="1" applyFill="1" applyBorder="1" applyAlignment="1">
      <alignment horizontal="center"/>
    </xf>
    <xf numFmtId="0" fontId="3" fillId="16" borderId="6" xfId="0" applyFont="1" applyFill="1" applyBorder="1" applyAlignment="1">
      <alignment horizontal="center"/>
    </xf>
    <xf numFmtId="0" fontId="3" fillId="16" borderId="18" xfId="0" applyFont="1" applyFill="1" applyBorder="1" applyAlignment="1">
      <alignment horizontal="center"/>
    </xf>
    <xf numFmtId="0" fontId="0" fillId="15" borderId="19" xfId="0" applyFill="1" applyBorder="1"/>
    <xf numFmtId="0" fontId="0" fillId="15" borderId="20" xfId="0" applyFill="1" applyBorder="1"/>
    <xf numFmtId="0" fontId="0" fillId="15" borderId="17" xfId="0" applyFill="1" applyBorder="1"/>
    <xf numFmtId="164" fontId="0" fillId="15" borderId="10" xfId="0" applyNumberFormat="1" applyFill="1" applyBorder="1"/>
    <xf numFmtId="164" fontId="0" fillId="15" borderId="15" xfId="0" applyNumberFormat="1" applyFill="1" applyBorder="1"/>
    <xf numFmtId="0" fontId="17" fillId="14" borderId="3" xfId="0" applyFont="1" applyFill="1" applyBorder="1" applyAlignment="1">
      <alignment horizontal="center"/>
    </xf>
    <xf numFmtId="0" fontId="3" fillId="14" borderId="6" xfId="0" applyFont="1" applyFill="1" applyBorder="1" applyAlignment="1">
      <alignment horizontal="center"/>
    </xf>
    <xf numFmtId="0" fontId="3" fillId="14" borderId="18" xfId="0" applyFont="1" applyFill="1" applyBorder="1" applyAlignment="1">
      <alignment horizontal="center"/>
    </xf>
    <xf numFmtId="0" fontId="4" fillId="6" borderId="3" xfId="0" applyFont="1" applyFill="1" applyBorder="1" applyAlignment="1">
      <alignment horizontal="center"/>
    </xf>
    <xf numFmtId="0" fontId="4" fillId="6" borderId="19" xfId="0" applyFont="1" applyFill="1" applyBorder="1" applyAlignment="1">
      <alignment horizontal="center"/>
    </xf>
    <xf numFmtId="9" fontId="5" fillId="6" borderId="18" xfId="0" applyNumberFormat="1" applyFont="1" applyFill="1" applyBorder="1" applyAlignment="1">
      <alignment horizontal="right"/>
    </xf>
    <xf numFmtId="9" fontId="5" fillId="6" borderId="10" xfId="0" applyNumberFormat="1" applyFont="1" applyFill="1" applyBorder="1" applyAlignment="1">
      <alignment horizontal="right"/>
    </xf>
    <xf numFmtId="0" fontId="17" fillId="36" borderId="3" xfId="0" applyFont="1" applyFill="1" applyBorder="1" applyAlignment="1">
      <alignment horizontal="center"/>
    </xf>
    <xf numFmtId="0" fontId="3" fillId="36" borderId="6" xfId="0" applyFont="1" applyFill="1" applyBorder="1" applyAlignment="1">
      <alignment horizontal="center"/>
    </xf>
    <xf numFmtId="0" fontId="3" fillId="36" borderId="18" xfId="0" applyFont="1" applyFill="1" applyBorder="1" applyAlignment="1">
      <alignment horizontal="center"/>
    </xf>
    <xf numFmtId="0" fontId="0" fillId="13" borderId="20" xfId="0" applyFill="1" applyBorder="1"/>
    <xf numFmtId="0" fontId="0" fillId="13" borderId="17" xfId="0" applyFill="1" applyBorder="1"/>
    <xf numFmtId="9" fontId="0" fillId="13" borderId="10" xfId="0" applyNumberFormat="1" applyFill="1" applyBorder="1"/>
    <xf numFmtId="164" fontId="0" fillId="13" borderId="10" xfId="0" applyNumberFormat="1" applyFill="1" applyBorder="1"/>
    <xf numFmtId="164" fontId="0" fillId="13" borderId="15" xfId="0" applyNumberFormat="1" applyFill="1" applyBorder="1"/>
    <xf numFmtId="0" fontId="17" fillId="12" borderId="0" xfId="0" applyFont="1" applyFill="1" applyBorder="1" applyAlignment="1">
      <alignment horizontal="center"/>
    </xf>
    <xf numFmtId="9" fontId="0" fillId="6" borderId="59" xfId="0" applyNumberFormat="1" applyFill="1" applyBorder="1"/>
    <xf numFmtId="9" fontId="0" fillId="6" borderId="6" xfId="0" applyNumberFormat="1" applyFill="1" applyBorder="1"/>
    <xf numFmtId="9" fontId="0" fillId="6" borderId="20" xfId="0" applyNumberFormat="1" applyFill="1" applyBorder="1"/>
    <xf numFmtId="9" fontId="0" fillId="6" borderId="7" xfId="0" applyNumberFormat="1" applyFill="1" applyBorder="1"/>
    <xf numFmtId="0" fontId="17" fillId="36" borderId="13" xfId="0" applyFont="1" applyFill="1" applyBorder="1" applyAlignment="1">
      <alignment horizontal="center"/>
    </xf>
    <xf numFmtId="0" fontId="20" fillId="36" borderId="8" xfId="0" applyFont="1" applyFill="1" applyBorder="1" applyAlignment="1">
      <alignment horizontal="center"/>
    </xf>
    <xf numFmtId="0" fontId="0" fillId="6" borderId="60" xfId="0" applyFill="1" applyBorder="1"/>
    <xf numFmtId="164" fontId="0" fillId="6" borderId="19" xfId="0" applyNumberFormat="1" applyFill="1" applyBorder="1"/>
    <xf numFmtId="164" fontId="0" fillId="6" borderId="16" xfId="0" applyNumberFormat="1" applyFill="1" applyBorder="1"/>
    <xf numFmtId="1" fontId="0" fillId="6" borderId="4" xfId="0" applyNumberFormat="1" applyFill="1" applyBorder="1"/>
    <xf numFmtId="164" fontId="0" fillId="6" borderId="23" xfId="0" applyNumberFormat="1" applyFill="1" applyBorder="1"/>
    <xf numFmtId="0" fontId="17" fillId="36" borderId="0" xfId="0" applyFont="1" applyFill="1" applyBorder="1" applyAlignment="1">
      <alignment horizontal="center"/>
    </xf>
    <xf numFmtId="0" fontId="0" fillId="11" borderId="20" xfId="0" applyFill="1" applyBorder="1"/>
    <xf numFmtId="9" fontId="0" fillId="11" borderId="10" xfId="0" applyNumberFormat="1" applyFill="1" applyBorder="1"/>
    <xf numFmtId="164" fontId="0" fillId="11" borderId="10" xfId="0" applyNumberFormat="1" applyFill="1" applyBorder="1"/>
    <xf numFmtId="0" fontId="17" fillId="9" borderId="0" xfId="0" applyFont="1" applyFill="1" applyBorder="1" applyAlignment="1">
      <alignment horizontal="center"/>
    </xf>
    <xf numFmtId="0" fontId="3" fillId="9" borderId="6" xfId="0" applyFont="1" applyFill="1" applyBorder="1" applyAlignment="1">
      <alignment horizontal="center"/>
    </xf>
    <xf numFmtId="0" fontId="3" fillId="9" borderId="18" xfId="0" applyFont="1" applyFill="1" applyBorder="1" applyAlignment="1">
      <alignment horizontal="center"/>
    </xf>
    <xf numFmtId="0" fontId="0" fillId="11" borderId="17" xfId="0" applyFill="1" applyBorder="1"/>
    <xf numFmtId="164" fontId="0" fillId="11" borderId="8" xfId="0" applyNumberFormat="1" applyFill="1" applyBorder="1"/>
    <xf numFmtId="164" fontId="0" fillId="11" borderId="15" xfId="0" applyNumberFormat="1" applyFill="1" applyBorder="1"/>
    <xf numFmtId="0" fontId="4" fillId="6" borderId="16" xfId="0" applyFont="1" applyFill="1" applyBorder="1" applyAlignment="1">
      <alignment horizontal="center"/>
    </xf>
    <xf numFmtId="9" fontId="0" fillId="6" borderId="18" xfId="0" applyNumberFormat="1" applyFill="1" applyBorder="1"/>
    <xf numFmtId="9" fontId="0" fillId="6" borderId="10" xfId="0" applyNumberFormat="1" applyFill="1" applyBorder="1"/>
    <xf numFmtId="0" fontId="4" fillId="8" borderId="20" xfId="0" applyFont="1" applyFill="1" applyBorder="1" applyAlignment="1">
      <alignment horizontal="center"/>
    </xf>
    <xf numFmtId="0" fontId="5" fillId="8" borderId="20" xfId="0" applyFont="1" applyFill="1" applyBorder="1" applyAlignment="1">
      <alignment horizontal="left"/>
    </xf>
    <xf numFmtId="0" fontId="0" fillId="8" borderId="20" xfId="0" applyFont="1" applyFill="1" applyBorder="1" applyAlignment="1">
      <alignment horizontal="left"/>
    </xf>
    <xf numFmtId="9" fontId="0" fillId="26" borderId="10" xfId="2" applyFont="1" applyFill="1" applyBorder="1"/>
    <xf numFmtId="165" fontId="1" fillId="26" borderId="10" xfId="2" applyNumberFormat="1" applyFont="1" applyFill="1" applyBorder="1" applyAlignment="1">
      <alignment horizontal="left"/>
    </xf>
    <xf numFmtId="165" fontId="1" fillId="26" borderId="10" xfId="2" applyNumberFormat="1" applyFont="1" applyFill="1" applyBorder="1" applyAlignment="1">
      <alignment horizontal="right"/>
    </xf>
    <xf numFmtId="165" fontId="0" fillId="26" borderId="10" xfId="0" applyNumberFormat="1" applyFont="1" applyFill="1" applyBorder="1" applyAlignment="1">
      <alignment horizontal="right"/>
    </xf>
    <xf numFmtId="165" fontId="0" fillId="26" borderId="10" xfId="0" applyNumberFormat="1" applyFill="1" applyBorder="1" applyAlignment="1">
      <alignment horizontal="right"/>
    </xf>
    <xf numFmtId="164" fontId="0" fillId="26" borderId="15" xfId="0" applyNumberFormat="1" applyFill="1" applyBorder="1"/>
    <xf numFmtId="0" fontId="25" fillId="7" borderId="59" xfId="0" applyFont="1" applyFill="1" applyBorder="1" applyAlignment="1">
      <alignment horizontal="center"/>
    </xf>
    <xf numFmtId="0" fontId="24" fillId="7" borderId="6" xfId="0" applyFont="1" applyFill="1" applyBorder="1" applyAlignment="1">
      <alignment horizontal="center"/>
    </xf>
    <xf numFmtId="0" fontId="24" fillId="26" borderId="18" xfId="0" applyFont="1" applyFill="1" applyBorder="1" applyAlignment="1">
      <alignment horizontal="center"/>
    </xf>
    <xf numFmtId="0" fontId="24" fillId="26" borderId="10" xfId="0" applyFont="1" applyFill="1" applyBorder="1" applyAlignment="1">
      <alignment horizontal="center"/>
    </xf>
    <xf numFmtId="0" fontId="24" fillId="6" borderId="6" xfId="0" applyFont="1" applyFill="1" applyBorder="1" applyAlignment="1">
      <alignment horizontal="center"/>
    </xf>
    <xf numFmtId="164" fontId="0" fillId="6" borderId="6" xfId="0" applyNumberFormat="1" applyFill="1" applyBorder="1"/>
    <xf numFmtId="164" fontId="0" fillId="6" borderId="7" xfId="0" applyNumberFormat="1" applyFill="1" applyBorder="1"/>
    <xf numFmtId="164" fontId="0" fillId="6" borderId="8" xfId="0" applyNumberFormat="1" applyFill="1" applyBorder="1"/>
    <xf numFmtId="0" fontId="0" fillId="0" borderId="0" xfId="0" applyFill="1" applyBorder="1" applyAlignment="1">
      <alignment wrapText="1"/>
    </xf>
    <xf numFmtId="164" fontId="0" fillId="0" borderId="0" xfId="0" applyNumberFormat="1" applyFill="1"/>
    <xf numFmtId="9" fontId="0" fillId="0" borderId="0" xfId="2" applyNumberFormat="1" applyFont="1" applyFill="1"/>
    <xf numFmtId="9" fontId="0" fillId="0" borderId="0" xfId="0" applyNumberFormat="1" applyFill="1"/>
    <xf numFmtId="9" fontId="0" fillId="0" borderId="0" xfId="2" applyFont="1" applyFill="1"/>
    <xf numFmtId="0" fontId="3" fillId="0" borderId="0" xfId="0" applyFont="1" applyFill="1"/>
    <xf numFmtId="9" fontId="3" fillId="0" borderId="0" xfId="0" applyNumberFormat="1" applyFont="1" applyFill="1"/>
    <xf numFmtId="0" fontId="19" fillId="0" borderId="0" xfId="0" applyFont="1" applyFill="1"/>
    <xf numFmtId="3" fontId="14" fillId="0" borderId="0" xfId="0" applyNumberFormat="1" applyFont="1" applyFill="1" applyBorder="1" applyAlignment="1" applyProtection="1">
      <alignment horizontal="center" vertical="center" wrapText="1"/>
      <protection locked="0"/>
    </xf>
    <xf numFmtId="0" fontId="22" fillId="0" borderId="0" xfId="106"/>
    <xf numFmtId="0" fontId="3" fillId="30" borderId="46" xfId="0" applyFont="1" applyFill="1" applyBorder="1" applyAlignment="1">
      <alignment horizontal="center" vertical="center"/>
    </xf>
    <xf numFmtId="0" fontId="0" fillId="0" borderId="0" xfId="0" applyBorder="1" applyAlignment="1">
      <alignment horizontal="center" vertical="center" wrapText="1"/>
    </xf>
    <xf numFmtId="0" fontId="0" fillId="0" borderId="0" xfId="0" applyAlignment="1">
      <alignment wrapText="1"/>
    </xf>
    <xf numFmtId="0" fontId="3" fillId="0" borderId="0" xfId="0" applyFont="1" applyAlignment="1">
      <alignment horizontal="left"/>
    </xf>
    <xf numFmtId="0" fontId="3" fillId="0" borderId="0" xfId="0" applyFont="1" applyAlignment="1">
      <alignment horizontal="center"/>
    </xf>
    <xf numFmtId="164" fontId="0" fillId="3" borderId="6" xfId="1" applyNumberFormat="1" applyFont="1" applyFill="1" applyBorder="1"/>
    <xf numFmtId="164" fontId="0" fillId="3" borderId="8" xfId="1" applyNumberFormat="1" applyFont="1" applyFill="1" applyBorder="1"/>
    <xf numFmtId="9" fontId="26" fillId="3" borderId="7" xfId="2" applyFont="1" applyFill="1" applyBorder="1"/>
    <xf numFmtId="9" fontId="28" fillId="6" borderId="10" xfId="2" applyFont="1" applyFill="1" applyBorder="1"/>
    <xf numFmtId="9" fontId="27" fillId="26" borderId="10" xfId="2" applyFont="1" applyFill="1" applyBorder="1"/>
    <xf numFmtId="164" fontId="19" fillId="0" borderId="21" xfId="0" applyNumberFormat="1" applyFont="1" applyFill="1" applyBorder="1"/>
    <xf numFmtId="0" fontId="25" fillId="36" borderId="0" xfId="0" applyFont="1" applyFill="1" applyBorder="1" applyAlignment="1">
      <alignment horizontal="center"/>
    </xf>
    <xf numFmtId="0" fontId="24" fillId="36" borderId="6" xfId="0" applyFont="1" applyFill="1" applyBorder="1" applyAlignment="1">
      <alignment horizontal="center"/>
    </xf>
    <xf numFmtId="0" fontId="24" fillId="36" borderId="18" xfId="0" applyFont="1" applyFill="1" applyBorder="1" applyAlignment="1">
      <alignment horizontal="center"/>
    </xf>
    <xf numFmtId="0" fontId="25" fillId="9" borderId="0" xfId="0" applyFont="1" applyFill="1" applyBorder="1" applyAlignment="1">
      <alignment horizontal="center"/>
    </xf>
    <xf numFmtId="0" fontId="24" fillId="9" borderId="6" xfId="0" applyFont="1" applyFill="1" applyBorder="1" applyAlignment="1">
      <alignment horizontal="center"/>
    </xf>
    <xf numFmtId="0" fontId="24" fillId="9" borderId="18" xfId="0" applyFont="1" applyFill="1" applyBorder="1" applyAlignment="1">
      <alignment horizontal="center"/>
    </xf>
    <xf numFmtId="0" fontId="25" fillId="12" borderId="0" xfId="0" applyFont="1" applyFill="1" applyBorder="1" applyAlignment="1">
      <alignment horizontal="center"/>
    </xf>
    <xf numFmtId="0" fontId="24" fillId="12" borderId="6" xfId="0" applyFont="1" applyFill="1" applyBorder="1" applyAlignment="1">
      <alignment horizontal="center"/>
    </xf>
    <xf numFmtId="0" fontId="24" fillId="12" borderId="18" xfId="0" applyFont="1" applyFill="1" applyBorder="1" applyAlignment="1">
      <alignment horizontal="center"/>
    </xf>
    <xf numFmtId="0" fontId="25" fillId="36" borderId="3" xfId="0" applyFont="1" applyFill="1" applyBorder="1" applyAlignment="1">
      <alignment horizontal="center"/>
    </xf>
    <xf numFmtId="0" fontId="25" fillId="14" borderId="3" xfId="0" applyFont="1" applyFill="1" applyBorder="1" applyAlignment="1">
      <alignment horizontal="center"/>
    </xf>
    <xf numFmtId="0" fontId="24" fillId="14" borderId="6" xfId="0" applyFont="1" applyFill="1" applyBorder="1" applyAlignment="1">
      <alignment horizontal="center"/>
    </xf>
    <xf numFmtId="0" fontId="24" fillId="14" borderId="18" xfId="0" applyFont="1" applyFill="1" applyBorder="1" applyAlignment="1">
      <alignment horizontal="center"/>
    </xf>
    <xf numFmtId="0" fontId="0" fillId="30" borderId="24" xfId="0" applyFill="1" applyBorder="1" applyAlignment="1">
      <alignment horizontal="center" vertical="center"/>
    </xf>
    <xf numFmtId="0" fontId="0" fillId="30" borderId="45" xfId="0" applyFill="1" applyBorder="1" applyAlignment="1">
      <alignment vertical="center"/>
    </xf>
    <xf numFmtId="0" fontId="0" fillId="30" borderId="70" xfId="0" applyFill="1" applyBorder="1" applyAlignment="1">
      <alignment horizontal="center" vertical="center"/>
    </xf>
    <xf numFmtId="0" fontId="0" fillId="30" borderId="71" xfId="0" applyFill="1" applyBorder="1" applyAlignment="1">
      <alignment horizontal="center" vertical="center"/>
    </xf>
    <xf numFmtId="0" fontId="0" fillId="30" borderId="0" xfId="0" applyFill="1" applyAlignment="1">
      <alignment vertical="center"/>
    </xf>
    <xf numFmtId="0" fontId="3" fillId="30" borderId="70" xfId="0" applyFont="1" applyFill="1" applyBorder="1" applyAlignment="1">
      <alignment horizontal="center" vertical="center"/>
    </xf>
    <xf numFmtId="3" fontId="0" fillId="30" borderId="25" xfId="0" applyNumberFormat="1" applyFill="1" applyBorder="1" applyAlignment="1">
      <alignment vertical="center"/>
    </xf>
    <xf numFmtId="0" fontId="5" fillId="28" borderId="0" xfId="0" applyFont="1" applyFill="1" applyBorder="1" applyAlignment="1">
      <alignment vertical="center"/>
    </xf>
    <xf numFmtId="0" fontId="5" fillId="30" borderId="6" xfId="0" applyFont="1" applyFill="1" applyBorder="1" applyAlignment="1">
      <alignment horizontal="center" vertical="center"/>
    </xf>
    <xf numFmtId="0" fontId="24" fillId="28" borderId="6" xfId="0" applyFont="1" applyFill="1" applyBorder="1" applyAlignment="1">
      <alignment horizontal="center" vertical="center"/>
    </xf>
    <xf numFmtId="0" fontId="24" fillId="28" borderId="50" xfId="0" applyFont="1" applyFill="1" applyBorder="1" applyAlignment="1">
      <alignment horizontal="center" vertical="center"/>
    </xf>
    <xf numFmtId="0" fontId="24" fillId="28" borderId="54" xfId="0" applyFont="1" applyFill="1" applyBorder="1" applyAlignment="1">
      <alignment horizontal="center" vertical="center"/>
    </xf>
    <xf numFmtId="0" fontId="5" fillId="30" borderId="26" xfId="0" applyFont="1" applyFill="1" applyBorder="1" applyAlignment="1">
      <alignment vertical="center"/>
    </xf>
    <xf numFmtId="0" fontId="5" fillId="30" borderId="7" xfId="0" applyFont="1" applyFill="1" applyBorder="1" applyAlignment="1">
      <alignment horizontal="center" vertical="center"/>
    </xf>
    <xf numFmtId="0" fontId="24" fillId="30" borderId="7" xfId="0" applyFont="1" applyFill="1" applyBorder="1" applyAlignment="1">
      <alignment horizontal="center" vertical="center"/>
    </xf>
    <xf numFmtId="0" fontId="24" fillId="30" borderId="10" xfId="0" applyFont="1" applyFill="1" applyBorder="1" applyAlignment="1">
      <alignment horizontal="center" vertical="center"/>
    </xf>
    <xf numFmtId="3" fontId="24" fillId="30" borderId="4" xfId="0" applyNumberFormat="1" applyFont="1" applyFill="1" applyBorder="1" applyAlignment="1">
      <alignment horizontal="center" vertical="center"/>
    </xf>
    <xf numFmtId="0" fontId="24" fillId="28" borderId="7" xfId="0" applyFont="1" applyFill="1" applyBorder="1" applyAlignment="1">
      <alignment horizontal="center" vertical="center"/>
    </xf>
    <xf numFmtId="0" fontId="24" fillId="28" borderId="10" xfId="0" applyFont="1" applyFill="1" applyBorder="1" applyAlignment="1">
      <alignment horizontal="center" vertical="center"/>
    </xf>
    <xf numFmtId="0" fontId="24" fillId="28" borderId="49" xfId="0" applyFont="1" applyFill="1" applyBorder="1" applyAlignment="1">
      <alignment horizontal="center" vertical="center"/>
    </xf>
    <xf numFmtId="0" fontId="5" fillId="29" borderId="64" xfId="0" applyFont="1" applyFill="1" applyBorder="1" applyAlignment="1">
      <alignment vertical="center"/>
    </xf>
    <xf numFmtId="164" fontId="5" fillId="26" borderId="8" xfId="0" applyNumberFormat="1" applyFont="1" applyFill="1" applyBorder="1" applyAlignment="1">
      <alignment horizontal="center" vertical="center"/>
    </xf>
    <xf numFmtId="3" fontId="5" fillId="29" borderId="29" xfId="0" applyNumberFormat="1" applyFont="1" applyFill="1" applyBorder="1" applyAlignment="1">
      <alignment vertical="center"/>
    </xf>
    <xf numFmtId="3" fontId="5" fillId="29" borderId="30" xfId="0" applyNumberFormat="1" applyFont="1" applyFill="1" applyBorder="1" applyAlignment="1">
      <alignment vertical="center"/>
    </xf>
    <xf numFmtId="3" fontId="5" fillId="29" borderId="28" xfId="0" applyNumberFormat="1" applyFont="1" applyFill="1" applyBorder="1" applyAlignment="1">
      <alignment vertical="center"/>
    </xf>
    <xf numFmtId="0" fontId="5" fillId="29" borderId="65" xfId="0" applyFont="1" applyFill="1" applyBorder="1" applyAlignment="1">
      <alignment vertical="center"/>
    </xf>
    <xf numFmtId="164" fontId="5" fillId="26" borderId="6" xfId="0" applyNumberFormat="1" applyFont="1" applyFill="1" applyBorder="1" applyAlignment="1">
      <alignment horizontal="center" vertical="center"/>
    </xf>
    <xf numFmtId="3" fontId="5" fillId="29" borderId="32" xfId="0" applyNumberFormat="1" applyFont="1" applyFill="1" applyBorder="1" applyAlignment="1">
      <alignment vertical="center"/>
    </xf>
    <xf numFmtId="3" fontId="5" fillId="29" borderId="33" xfId="0" applyNumberFormat="1" applyFont="1" applyFill="1" applyBorder="1" applyAlignment="1">
      <alignment vertical="center"/>
    </xf>
    <xf numFmtId="3" fontId="5" fillId="29" borderId="31" xfId="0" applyNumberFormat="1" applyFont="1" applyFill="1" applyBorder="1" applyAlignment="1">
      <alignment vertical="center"/>
    </xf>
    <xf numFmtId="0" fontId="5" fillId="29" borderId="66" xfId="0" applyFont="1" applyFill="1" applyBorder="1" applyAlignment="1">
      <alignment vertical="center"/>
    </xf>
    <xf numFmtId="3" fontId="5" fillId="29" borderId="35" xfId="0" applyNumberFormat="1" applyFont="1" applyFill="1" applyBorder="1" applyAlignment="1">
      <alignment vertical="center"/>
    </xf>
    <xf numFmtId="3" fontId="5" fillId="29" borderId="34" xfId="0" applyNumberFormat="1" applyFont="1" applyFill="1" applyBorder="1" applyAlignment="1">
      <alignment vertical="center"/>
    </xf>
    <xf numFmtId="0" fontId="5" fillId="2" borderId="8" xfId="0" applyFont="1" applyFill="1" applyBorder="1" applyAlignment="1">
      <alignment horizontal="center" vertical="center"/>
    </xf>
    <xf numFmtId="3" fontId="5" fillId="29" borderId="51" xfId="0" applyNumberFormat="1" applyFont="1" applyFill="1" applyBorder="1" applyAlignment="1">
      <alignment horizontal="right" vertical="center"/>
    </xf>
    <xf numFmtId="3" fontId="5" fillId="29" borderId="29" xfId="0" applyNumberFormat="1" applyFont="1" applyFill="1" applyBorder="1" applyAlignment="1">
      <alignment horizontal="right" vertical="center"/>
    </xf>
    <xf numFmtId="3" fontId="5" fillId="29" borderId="30" xfId="0" applyNumberFormat="1" applyFont="1" applyFill="1" applyBorder="1" applyAlignment="1">
      <alignment horizontal="right" vertical="center"/>
    </xf>
    <xf numFmtId="3" fontId="5" fillId="29" borderId="26" xfId="0" applyNumberFormat="1" applyFont="1" applyFill="1" applyBorder="1" applyAlignment="1">
      <alignment vertical="center"/>
    </xf>
    <xf numFmtId="0" fontId="5" fillId="2" borderId="13" xfId="0" applyFont="1" applyFill="1" applyBorder="1" applyAlignment="1">
      <alignment horizontal="center" vertical="center"/>
    </xf>
    <xf numFmtId="3" fontId="5" fillId="29" borderId="52" xfId="0" applyNumberFormat="1" applyFont="1" applyFill="1" applyBorder="1" applyAlignment="1">
      <alignment horizontal="right" vertical="center"/>
    </xf>
    <xf numFmtId="3" fontId="5" fillId="29" borderId="32" xfId="0" applyNumberFormat="1" applyFont="1" applyFill="1" applyBorder="1" applyAlignment="1">
      <alignment horizontal="right" vertical="center"/>
    </xf>
    <xf numFmtId="3" fontId="5" fillId="29" borderId="33" xfId="0" applyNumberFormat="1" applyFont="1" applyFill="1" applyBorder="1" applyAlignment="1">
      <alignment horizontal="right" vertical="center"/>
    </xf>
    <xf numFmtId="0" fontId="5" fillId="2" borderId="6" xfId="0" applyFont="1" applyFill="1" applyBorder="1" applyAlignment="1">
      <alignment horizontal="center" vertical="center"/>
    </xf>
    <xf numFmtId="3" fontId="5" fillId="29" borderId="53" xfId="0" applyNumberFormat="1" applyFont="1" applyFill="1" applyBorder="1" applyAlignment="1">
      <alignment horizontal="right" vertical="center"/>
    </xf>
    <xf numFmtId="3" fontId="5" fillId="29" borderId="35" xfId="0" applyNumberFormat="1" applyFont="1" applyFill="1" applyBorder="1" applyAlignment="1">
      <alignment horizontal="right" vertical="center"/>
    </xf>
    <xf numFmtId="3" fontId="5" fillId="29" borderId="36" xfId="0" applyNumberFormat="1" applyFont="1" applyFill="1" applyBorder="1" applyAlignment="1">
      <alignment horizontal="right" vertical="center"/>
    </xf>
    <xf numFmtId="0" fontId="5" fillId="29" borderId="0" xfId="0" applyFont="1" applyFill="1" applyBorder="1" applyAlignment="1">
      <alignment vertical="center"/>
    </xf>
    <xf numFmtId="164" fontId="5" fillId="26" borderId="13" xfId="0" applyNumberFormat="1" applyFont="1" applyFill="1" applyBorder="1" applyAlignment="1">
      <alignment horizontal="center" vertical="center"/>
    </xf>
    <xf numFmtId="3" fontId="5" fillId="29" borderId="13" xfId="0" applyNumberFormat="1" applyFont="1" applyFill="1" applyBorder="1" applyAlignment="1">
      <alignment horizontal="right" vertical="center"/>
    </xf>
    <xf numFmtId="3" fontId="5" fillId="29" borderId="21" xfId="0" applyNumberFormat="1" applyFont="1" applyFill="1" applyBorder="1" applyAlignment="1">
      <alignment horizontal="right" vertical="center"/>
    </xf>
    <xf numFmtId="3" fontId="5" fillId="29" borderId="47" xfId="0" applyNumberFormat="1" applyFont="1" applyFill="1" applyBorder="1" applyAlignment="1">
      <alignment vertical="center"/>
    </xf>
    <xf numFmtId="0" fontId="5" fillId="30" borderId="45" xfId="0" applyFont="1" applyFill="1" applyBorder="1" applyAlignment="1">
      <alignment vertical="center"/>
    </xf>
    <xf numFmtId="0" fontId="5" fillId="30" borderId="70" xfId="0" applyFont="1" applyFill="1" applyBorder="1" applyAlignment="1">
      <alignment horizontal="center" vertical="center"/>
    </xf>
    <xf numFmtId="0" fontId="24" fillId="30" borderId="45" xfId="0" applyFont="1" applyFill="1" applyBorder="1" applyAlignment="1">
      <alignment horizontal="center" vertical="center"/>
    </xf>
    <xf numFmtId="0" fontId="5" fillId="30" borderId="71" xfId="0" applyFont="1" applyFill="1" applyBorder="1" applyAlignment="1">
      <alignment horizontal="center" vertical="center"/>
    </xf>
    <xf numFmtId="0" fontId="24" fillId="30" borderId="6" xfId="0" applyFont="1" applyFill="1" applyBorder="1" applyAlignment="1">
      <alignment horizontal="center" vertical="center"/>
    </xf>
    <xf numFmtId="0" fontId="24" fillId="30" borderId="50" xfId="0" applyFont="1" applyFill="1" applyBorder="1" applyAlignment="1">
      <alignment horizontal="center" vertical="center"/>
    </xf>
    <xf numFmtId="3" fontId="5" fillId="29" borderId="36" xfId="0" applyNumberFormat="1" applyFont="1" applyFill="1" applyBorder="1" applyAlignment="1">
      <alignment vertical="center"/>
    </xf>
    <xf numFmtId="0" fontId="5" fillId="29" borderId="51" xfId="0" applyFont="1" applyFill="1" applyBorder="1" applyAlignment="1">
      <alignment vertical="center"/>
    </xf>
    <xf numFmtId="0" fontId="5" fillId="29" borderId="52" xfId="0" applyFont="1" applyFill="1" applyBorder="1" applyAlignment="1">
      <alignment vertical="center"/>
    </xf>
    <xf numFmtId="0" fontId="5" fillId="29" borderId="53" xfId="0" applyFont="1" applyFill="1" applyBorder="1" applyAlignment="1">
      <alignment vertical="center"/>
    </xf>
    <xf numFmtId="0" fontId="5" fillId="29" borderId="63" xfId="0" applyFont="1" applyFill="1" applyBorder="1" applyAlignment="1">
      <alignment vertical="center"/>
    </xf>
    <xf numFmtId="3" fontId="5" fillId="29" borderId="68" xfId="0" applyNumberFormat="1" applyFont="1" applyFill="1" applyBorder="1" applyAlignment="1">
      <alignment horizontal="right" vertical="center"/>
    </xf>
    <xf numFmtId="0" fontId="5" fillId="3" borderId="0" xfId="0" applyFont="1" applyFill="1" applyBorder="1" applyAlignment="1">
      <alignment vertical="center"/>
    </xf>
    <xf numFmtId="0" fontId="24" fillId="3" borderId="7" xfId="0" applyFont="1" applyFill="1" applyBorder="1" applyAlignment="1">
      <alignment horizontal="center" vertical="center"/>
    </xf>
    <xf numFmtId="0" fontId="24" fillId="3" borderId="10" xfId="0" applyFont="1" applyFill="1" applyBorder="1" applyAlignment="1">
      <alignment horizontal="center" vertical="center"/>
    </xf>
    <xf numFmtId="0" fontId="24" fillId="3" borderId="49" xfId="0" applyFont="1" applyFill="1" applyBorder="1" applyAlignment="1">
      <alignment horizontal="center" vertical="center"/>
    </xf>
    <xf numFmtId="0" fontId="24" fillId="3" borderId="22" xfId="0" applyFont="1" applyFill="1" applyBorder="1" applyAlignment="1">
      <alignment horizontal="centerContinuous" vertical="center"/>
    </xf>
    <xf numFmtId="0" fontId="5" fillId="3" borderId="24" xfId="0" applyFont="1" applyFill="1" applyBorder="1" applyAlignment="1">
      <alignment horizontal="centerContinuous" vertical="center"/>
    </xf>
    <xf numFmtId="0" fontId="5" fillId="3" borderId="25" xfId="0" applyFont="1" applyFill="1" applyBorder="1" applyAlignment="1">
      <alignment horizontal="centerContinuous" vertical="center"/>
    </xf>
    <xf numFmtId="0" fontId="5" fillId="3" borderId="26" xfId="0" applyFont="1" applyFill="1" applyBorder="1" applyAlignment="1">
      <alignment vertical="center"/>
    </xf>
    <xf numFmtId="0" fontId="24" fillId="25" borderId="61" xfId="0" applyFont="1" applyFill="1" applyBorder="1" applyAlignment="1">
      <alignment horizontal="left" vertical="center"/>
    </xf>
    <xf numFmtId="0" fontId="24" fillId="25" borderId="37" xfId="0" applyFont="1" applyFill="1" applyBorder="1" applyAlignment="1">
      <alignment horizontal="left" vertical="center" wrapText="1"/>
    </xf>
    <xf numFmtId="0" fontId="24" fillId="25" borderId="37" xfId="0" applyFont="1" applyFill="1" applyBorder="1" applyAlignment="1">
      <alignment horizontal="center" vertical="center"/>
    </xf>
    <xf numFmtId="0" fontId="24" fillId="25" borderId="38" xfId="0" applyFont="1" applyFill="1" applyBorder="1" applyAlignment="1">
      <alignment horizontal="center" vertical="center"/>
    </xf>
    <xf numFmtId="0" fontId="5" fillId="4" borderId="59" xfId="0" applyFont="1" applyFill="1" applyBorder="1" applyAlignment="1">
      <alignment horizontal="left" vertical="center"/>
    </xf>
    <xf numFmtId="0" fontId="5" fillId="33" borderId="21" xfId="0" applyFont="1" applyFill="1" applyBorder="1" applyAlignment="1">
      <alignment horizontal="left" vertical="center"/>
    </xf>
    <xf numFmtId="9" fontId="5" fillId="10" borderId="44" xfId="0" applyNumberFormat="1" applyFont="1" applyFill="1" applyBorder="1" applyAlignment="1" applyProtection="1">
      <alignment horizontal="center" vertical="center"/>
      <protection locked="0"/>
    </xf>
    <xf numFmtId="9" fontId="5" fillId="10" borderId="42" xfId="0" applyNumberFormat="1" applyFont="1" applyFill="1" applyBorder="1" applyAlignment="1" applyProtection="1">
      <alignment horizontal="center" vertical="center"/>
      <protection locked="0"/>
    </xf>
    <xf numFmtId="9" fontId="5" fillId="10" borderId="45" xfId="0" applyNumberFormat="1" applyFont="1" applyFill="1" applyBorder="1" applyAlignment="1" applyProtection="1">
      <alignment horizontal="center" vertical="center"/>
      <protection locked="0"/>
    </xf>
    <xf numFmtId="0" fontId="5" fillId="4" borderId="20" xfId="0" applyFont="1" applyFill="1" applyBorder="1" applyAlignment="1">
      <alignment horizontal="left" vertical="center"/>
    </xf>
    <xf numFmtId="165" fontId="5" fillId="10" borderId="42" xfId="2" applyNumberFormat="1" applyFont="1" applyFill="1" applyBorder="1" applyAlignment="1" applyProtection="1">
      <alignment horizontal="center" vertical="center"/>
      <protection locked="0"/>
    </xf>
    <xf numFmtId="0" fontId="5" fillId="10" borderId="42" xfId="0" applyFont="1" applyFill="1" applyBorder="1" applyAlignment="1" applyProtection="1">
      <alignment horizontal="center" vertical="center"/>
      <protection locked="0"/>
    </xf>
    <xf numFmtId="1" fontId="5" fillId="4" borderId="59" xfId="0" applyNumberFormat="1" applyFont="1" applyFill="1" applyBorder="1" applyAlignment="1">
      <alignment horizontal="right" vertical="center"/>
    </xf>
    <xf numFmtId="1" fontId="5" fillId="4" borderId="6" xfId="0" applyNumberFormat="1" applyFont="1" applyFill="1" applyBorder="1" applyAlignment="1">
      <alignment horizontal="right" vertical="center"/>
    </xf>
    <xf numFmtId="1" fontId="5" fillId="4" borderId="62" xfId="0" applyNumberFormat="1" applyFont="1" applyFill="1" applyBorder="1" applyAlignment="1">
      <alignment horizontal="right" vertical="center"/>
    </xf>
    <xf numFmtId="0" fontId="5" fillId="33" borderId="6" xfId="0" applyFont="1" applyFill="1" applyBorder="1" applyAlignment="1">
      <alignment horizontal="left" vertical="center"/>
    </xf>
    <xf numFmtId="1" fontId="5" fillId="4" borderId="7" xfId="0" applyNumberFormat="1" applyFont="1" applyFill="1" applyBorder="1" applyAlignment="1">
      <alignment horizontal="right" vertical="center"/>
    </xf>
    <xf numFmtId="1" fontId="5" fillId="4" borderId="10" xfId="0" applyNumberFormat="1" applyFont="1" applyFill="1" applyBorder="1" applyAlignment="1">
      <alignment horizontal="right" vertical="center"/>
    </xf>
    <xf numFmtId="0" fontId="5" fillId="4" borderId="63" xfId="0" applyFont="1" applyFill="1" applyBorder="1" applyAlignment="1">
      <alignment horizontal="left" vertical="center"/>
    </xf>
    <xf numFmtId="165" fontId="5" fillId="10" borderId="44" xfId="2" applyNumberFormat="1" applyFont="1" applyFill="1" applyBorder="1" applyAlignment="1" applyProtection="1">
      <alignment horizontal="center" vertical="center"/>
      <protection locked="0"/>
    </xf>
    <xf numFmtId="0" fontId="5" fillId="10" borderId="44" xfId="0" applyFont="1" applyFill="1" applyBorder="1" applyAlignment="1" applyProtection="1">
      <alignment horizontal="center" vertical="center"/>
      <protection locked="0"/>
    </xf>
    <xf numFmtId="1" fontId="5" fillId="4" borderId="13" xfId="0" applyNumberFormat="1" applyFont="1" applyFill="1" applyBorder="1" applyAlignment="1">
      <alignment horizontal="right" vertical="center"/>
    </xf>
    <xf numFmtId="1" fontId="5" fillId="4" borderId="21" xfId="0" applyNumberFormat="1" applyFont="1" applyFill="1" applyBorder="1" applyAlignment="1">
      <alignment horizontal="right" vertical="center"/>
    </xf>
    <xf numFmtId="0" fontId="5" fillId="0" borderId="0" xfId="0" applyFont="1" applyFill="1" applyAlignment="1">
      <alignment vertical="center"/>
    </xf>
    <xf numFmtId="0" fontId="5" fillId="0" borderId="0" xfId="0" applyFont="1" applyAlignment="1">
      <alignment horizontal="center" vertical="center"/>
    </xf>
    <xf numFmtId="0" fontId="5" fillId="0" borderId="0" xfId="0" applyFont="1" applyFill="1" applyAlignment="1">
      <alignment horizontal="center" vertical="center"/>
    </xf>
    <xf numFmtId="0" fontId="24" fillId="25" borderId="48" xfId="0" applyFont="1" applyFill="1" applyBorder="1" applyAlignment="1">
      <alignment horizontal="left" vertical="center"/>
    </xf>
    <xf numFmtId="0" fontId="24" fillId="25" borderId="61" xfId="0" applyFont="1" applyFill="1" applyBorder="1" applyAlignment="1">
      <alignment horizontal="center" vertical="center"/>
    </xf>
    <xf numFmtId="0" fontId="0" fillId="10" borderId="0" xfId="0" applyFill="1" applyBorder="1" applyAlignment="1">
      <alignment horizontal="left" vertical="center"/>
    </xf>
    <xf numFmtId="0" fontId="0" fillId="10" borderId="0" xfId="0" applyFill="1" applyBorder="1" applyAlignment="1">
      <alignment horizontal="center" vertical="center" wrapText="1"/>
    </xf>
    <xf numFmtId="0" fontId="0" fillId="10" borderId="0" xfId="0" applyFill="1" applyBorder="1" applyAlignment="1">
      <alignment vertical="center"/>
    </xf>
    <xf numFmtId="0" fontId="0" fillId="10" borderId="0" xfId="0" applyFill="1" applyAlignment="1">
      <alignment vertical="center"/>
    </xf>
    <xf numFmtId="0" fontId="24" fillId="30" borderId="18" xfId="0" applyFont="1" applyFill="1" applyBorder="1" applyAlignment="1">
      <alignment horizontal="center" vertical="center"/>
    </xf>
    <xf numFmtId="3" fontId="24" fillId="30" borderId="1" xfId="0" applyNumberFormat="1" applyFont="1" applyFill="1" applyBorder="1" applyAlignment="1">
      <alignment horizontal="center" vertical="center"/>
    </xf>
    <xf numFmtId="3" fontId="5" fillId="30" borderId="42" xfId="0" applyNumberFormat="1" applyFont="1" applyFill="1" applyBorder="1" applyAlignment="1">
      <alignment vertical="center"/>
    </xf>
  </cellXfs>
  <cellStyles count="107">
    <cellStyle name="Comma" xfId="1" builtinId="3"/>
    <cellStyle name="Comma 2" xfId="3"/>
    <cellStyle name="Comma 2 2" xfId="4"/>
    <cellStyle name="Comma 2 3" xfId="105"/>
    <cellStyle name="Comma 3" xfId="5"/>
    <cellStyle name="Comma 3 2" xfId="6"/>
    <cellStyle name="Comma 3 3" xfId="7"/>
    <cellStyle name="Comma 4" xfId="8"/>
    <cellStyle name="Comma0" xfId="9"/>
    <cellStyle name="Currency0" xfId="10"/>
    <cellStyle name="Date" xfId="11"/>
    <cellStyle name="Fixed" xfId="12"/>
    <cellStyle name="Grey" xfId="13"/>
    <cellStyle name="Heading 1 2" xfId="14"/>
    <cellStyle name="Heading 2 2" xfId="15"/>
    <cellStyle name="Hyperlink" xfId="106" builtinId="8"/>
    <cellStyle name="Input [yellow]" xfId="16"/>
    <cellStyle name="Input [yellow] 2" xfId="17"/>
    <cellStyle name="Input [yellow] 2 2" xfId="18"/>
    <cellStyle name="Input [yellow] 2 3" xfId="19"/>
    <cellStyle name="Input [yellow] 2 4" xfId="20"/>
    <cellStyle name="Input [yellow] 2 5" xfId="21"/>
    <cellStyle name="Normal" xfId="0" builtinId="0"/>
    <cellStyle name="Normal - Style1" xfId="22"/>
    <cellStyle name="Normal 10" xfId="23"/>
    <cellStyle name="Normal 10 2" xfId="24"/>
    <cellStyle name="Normal 10 3" xfId="25"/>
    <cellStyle name="Normal 11" xfId="26"/>
    <cellStyle name="Normal 11 2" xfId="27"/>
    <cellStyle name="Normal 12" xfId="28"/>
    <cellStyle name="Normal 13" xfId="29"/>
    <cellStyle name="Normal 14" xfId="30"/>
    <cellStyle name="Normal 15" xfId="31"/>
    <cellStyle name="Normal 15 2" xfId="32"/>
    <cellStyle name="Normal 16" xfId="33"/>
    <cellStyle name="Normal 17" xfId="34"/>
    <cellStyle name="Normal 18" xfId="35"/>
    <cellStyle name="Normal 19" xfId="36"/>
    <cellStyle name="Normal 19 2" xfId="37"/>
    <cellStyle name="Normal 2" xfId="38"/>
    <cellStyle name="Normal 2 2" xfId="39"/>
    <cellStyle name="Normal 20" xfId="40"/>
    <cellStyle name="Normal 20 2" xfId="41"/>
    <cellStyle name="Normal 21" xfId="42"/>
    <cellStyle name="Normal 21 2" xfId="43"/>
    <cellStyle name="Normal 22" xfId="44"/>
    <cellStyle name="Normal 22 2" xfId="45"/>
    <cellStyle name="Normal 23" xfId="46"/>
    <cellStyle name="Normal 23 2" xfId="47"/>
    <cellStyle name="Normal 24" xfId="48"/>
    <cellStyle name="Normal 24 2" xfId="49"/>
    <cellStyle name="Normal 25" xfId="50"/>
    <cellStyle name="Normal 26" xfId="51"/>
    <cellStyle name="Normal 27" xfId="52"/>
    <cellStyle name="Normal 28" xfId="53"/>
    <cellStyle name="Normal 29" xfId="54"/>
    <cellStyle name="Normal 3" xfId="55"/>
    <cellStyle name="Normal 30" xfId="56"/>
    <cellStyle name="Normal 31" xfId="57"/>
    <cellStyle name="Normal 32" xfId="58"/>
    <cellStyle name="Normal 4" xfId="59"/>
    <cellStyle name="Normal 4 2" xfId="60"/>
    <cellStyle name="Normal 4 3" xfId="61"/>
    <cellStyle name="Normal 4 4" xfId="62"/>
    <cellStyle name="Normal 4 5" xfId="103"/>
    <cellStyle name="Normal 5" xfId="63"/>
    <cellStyle name="Normal 5 2" xfId="64"/>
    <cellStyle name="Normal 5 3" xfId="65"/>
    <cellStyle name="Normal 6" xfId="66"/>
    <cellStyle name="Normal 6 2" xfId="67"/>
    <cellStyle name="Normal 6 3" xfId="68"/>
    <cellStyle name="Normal 7" xfId="69"/>
    <cellStyle name="Normal 7 2" xfId="70"/>
    <cellStyle name="Normal 7 3" xfId="71"/>
    <cellStyle name="Normal 8" xfId="72"/>
    <cellStyle name="Normal 8 2" xfId="73"/>
    <cellStyle name="Normal 8 3" xfId="74"/>
    <cellStyle name="Normal 9" xfId="75"/>
    <cellStyle name="Normal 9 2" xfId="76"/>
    <cellStyle name="Normal 9 3" xfId="77"/>
    <cellStyle name="Percent" xfId="2" builtinId="5"/>
    <cellStyle name="Percent [2]" xfId="78"/>
    <cellStyle name="Percent 2" xfId="79"/>
    <cellStyle name="Percent 2 2" xfId="80"/>
    <cellStyle name="Percent 2 3" xfId="81"/>
    <cellStyle name="Percent 2 4" xfId="82"/>
    <cellStyle name="Percent 2 5" xfId="104"/>
    <cellStyle name="Percent 3" xfId="83"/>
    <cellStyle name="Percent 4" xfId="84"/>
    <cellStyle name="Percent 5" xfId="85"/>
    <cellStyle name="Percent 6" xfId="86"/>
    <cellStyle name="Percent 7" xfId="87"/>
    <cellStyle name="Percent 8" xfId="88"/>
    <cellStyle name="Percent 9" xfId="89"/>
    <cellStyle name="Standard 2" xfId="90"/>
    <cellStyle name="Total 2" xfId="91"/>
    <cellStyle name="Total 2 2" xfId="92"/>
    <cellStyle name="Total 2 3" xfId="93"/>
    <cellStyle name="Total 3" xfId="94"/>
    <cellStyle name="Total 3 2" xfId="95"/>
    <cellStyle name="Total 4" xfId="96"/>
    <cellStyle name="Total 4 2" xfId="97"/>
    <cellStyle name="Total 5" xfId="98"/>
    <cellStyle name="Total 5 2" xfId="99"/>
    <cellStyle name="Total 6" xfId="100"/>
    <cellStyle name="Total 7" xfId="101"/>
    <cellStyle name="標準_Book1" xfId="102"/>
  </cellStyles>
  <dxfs count="703">
    <dxf>
      <font>
        <b/>
        <i val="0"/>
        <strike val="0"/>
        <condense val="0"/>
        <extend val="0"/>
        <outline val="0"/>
        <shadow val="0"/>
        <u val="none"/>
        <vertAlign val="baseline"/>
        <sz val="11"/>
        <color auto="1"/>
        <name val="Calibri"/>
        <scheme val="minor"/>
      </font>
      <fill>
        <patternFill patternType="solid">
          <fgColor indexed="64"/>
          <bgColor theme="6"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6"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protection locked="0"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rgb="FFFFFF00"/>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protection locked="0" hidden="0"/>
    </dxf>
    <dxf>
      <font>
        <strike val="0"/>
        <outline val="0"/>
        <shadow val="0"/>
        <u val="none"/>
        <vertAlign val="baseline"/>
        <sz val="11"/>
        <color auto="1"/>
        <name val="Calibri"/>
        <scheme val="minor"/>
      </font>
      <fill>
        <patternFill patternType="solid">
          <fgColor indexed="64"/>
          <bgColor theme="6" tint="0.3999755851924192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6"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protection locked="0"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rgb="FFFFFF00"/>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protection locked="0" hidden="0"/>
    </dxf>
    <dxf>
      <font>
        <strike val="0"/>
        <outline val="0"/>
        <shadow val="0"/>
        <u val="none"/>
        <vertAlign val="baseline"/>
        <sz val="11"/>
        <color auto="1"/>
        <name val="Calibri"/>
        <scheme val="minor"/>
      </font>
      <fill>
        <patternFill patternType="solid">
          <fgColor indexed="64"/>
          <bgColor theme="6" tint="0.3999755851924192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center" textRotation="0" wrapText="0" indent="0" justifyLastLine="0" shrinkToFit="0" readingOrder="0"/>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center" textRotation="0" wrapText="0" indent="0" justifyLastLine="0" shrinkToFit="0" readingOrder="0"/>
    </dxf>
    <dxf>
      <font>
        <strike val="0"/>
        <outline val="0"/>
        <shadow val="0"/>
        <u val="none"/>
        <vertAlign val="baseline"/>
        <sz val="11"/>
        <color auto="1"/>
        <name val="Calibri"/>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medium">
          <color indexed="64"/>
        </left>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center" vertical="center" textRotation="0" wrapText="0" indent="0" justifyLastLine="0" shrinkToFit="0" readingOrder="0"/>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0" tint="-0.24994659260841701"/>
        </patternFill>
      </fill>
      <alignment horizontal="center" vertical="center" textRotation="0" wrapText="0" indent="0" justifyLastLine="0" shrinkToFit="0" readingOrder="0"/>
    </dxf>
    <dxf>
      <font>
        <strike val="0"/>
        <outline val="0"/>
        <shadow val="0"/>
        <u val="none"/>
        <vertAlign val="baseline"/>
        <sz val="11"/>
        <color auto="1"/>
        <name val="Calibri"/>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medium">
          <color indexed="64"/>
        </left>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center" vertical="center" textRotation="0" wrapText="0" indent="0" justifyLastLine="0" shrinkToFit="0" readingOrder="0"/>
    </dxf>
    <dxf>
      <font>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indexed="64"/>
          <bgColor theme="0" tint="-0.24994659260841701"/>
        </patternFill>
      </fill>
      <alignment horizontal="center" vertical="center" textRotation="0" wrapText="0" indent="0" justifyLastLine="0" shrinkToFit="0" readingOrder="0"/>
    </dxf>
    <dxf>
      <font>
        <strike val="0"/>
        <outline val="0"/>
        <shadow val="0"/>
        <u val="none"/>
        <vertAlign val="baseline"/>
        <sz val="11"/>
        <color auto="1"/>
        <name val="Calibri"/>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medium">
          <color indexed="64"/>
        </left>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top style="hair">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4659260841701"/>
        </patternFill>
      </fill>
      <alignment horizontal="center" vertical="center" textRotation="0" wrapText="0" indent="0" justifyLastLine="0" shrinkToFit="0" readingOrder="0"/>
    </dxf>
    <dxf>
      <fill>
        <patternFill>
          <bgColor rgb="FFFFFF00"/>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1"/>
        <color auto="1"/>
        <name val="Calibri"/>
        <scheme val="minor"/>
      </font>
      <fill>
        <patternFill patternType="solid">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scheme val="minor"/>
      </font>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rder>
    </dxf>
    <dxf>
      <font>
        <b/>
        <i val="0"/>
        <strike val="0"/>
        <condense val="0"/>
        <extend val="0"/>
        <outline val="0"/>
        <shadow val="0"/>
        <u val="none"/>
        <vertAlign val="baseline"/>
        <sz val="11"/>
        <color theme="1"/>
        <name val="Calibri"/>
        <scheme val="minor"/>
      </font>
      <fill>
        <patternFill patternType="solid">
          <fgColor indexed="64"/>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rder>
    </dxf>
    <dxf>
      <font>
        <b/>
        <i val="0"/>
        <strike val="0"/>
        <condense val="0"/>
        <extend val="0"/>
        <outline val="0"/>
        <shadow val="0"/>
        <u val="none"/>
        <vertAlign val="baseline"/>
        <sz val="11"/>
        <color theme="1"/>
        <name val="Calibri"/>
        <scheme val="minor"/>
      </font>
      <fill>
        <patternFill patternType="solid">
          <fgColor indexed="64"/>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0" tint="-0.14999847407452621"/>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ill>
        <patternFill patternType="solid">
          <fgColor indexed="64"/>
          <bgColor theme="0" tint="-0.1499984740745262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Calibri"/>
        <scheme val="minor"/>
      </font>
      <fill>
        <patternFill patternType="solid">
          <fgColor indexed="64"/>
          <bgColor theme="7"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7"/>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1"/>
        <color theme="1"/>
        <name val="Calibri"/>
        <scheme val="minor"/>
      </font>
      <fill>
        <patternFill patternType="solid">
          <fgColor indexed="64"/>
          <bgColor theme="4"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39997558519241921"/>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top style="thin">
          <color indexed="64"/>
        </top>
      </border>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style="medium">
          <color indexed="64"/>
        </right>
        <top style="medium">
          <color indexed="64"/>
        </top>
        <bottom/>
      </border>
      <protection locked="0" hidden="0"/>
    </dxf>
    <dxf>
      <numFmt numFmtId="164" formatCode="_(* #,##0_);_(* \(#,##0\);_(* &quot;-&quot;??_);_(@_)"/>
      <fill>
        <patternFill patternType="solid">
          <fgColor indexed="64"/>
          <bgColor theme="2" tint="-9.9978637043366805E-2"/>
        </patternFill>
      </fill>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protection locked="0" hidden="0"/>
    </dxf>
    <dxf>
      <fill>
        <patternFill patternType="solid">
          <fgColor indexed="64"/>
          <bgColor theme="2" tint="-9.9978637043366805E-2"/>
        </patternFill>
      </fill>
      <border diagonalUp="0" diagonalDown="0" outline="0">
        <left/>
        <right style="medium">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9"/>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9" tint="0.59999389629810485"/>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rder>
    </dxf>
    <dxf>
      <fill>
        <patternFill patternType="solid">
          <fgColor indexed="64"/>
          <bgColor theme="9"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9"/>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9" tint="0.39997558519241921"/>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fill>
        <patternFill patternType="solid">
          <fgColor indexed="64"/>
          <bgColor theme="9"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9"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style="medium">
          <color indexed="64"/>
        </right>
        <top style="medium">
          <color indexed="64"/>
        </top>
        <bottom/>
      </border>
      <protection locked="0" hidden="0"/>
    </dxf>
    <dxf>
      <numFmt numFmtId="164" formatCode="_(* #,##0_);_(* \(#,##0\);_(* &quot;-&quot;??_);_(@_)"/>
      <fill>
        <patternFill patternType="solid">
          <fgColor indexed="64"/>
          <bgColor theme="2" tint="-9.9978637043366805E-2"/>
        </patternFill>
      </fill>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protection locked="0" hidden="0"/>
    </dxf>
    <dxf>
      <fill>
        <patternFill patternType="solid">
          <fgColor indexed="64"/>
          <bgColor theme="2" tint="-9.9978637043366805E-2"/>
        </patternFill>
      </fill>
      <border diagonalUp="0" diagonalDown="0" outline="0">
        <left/>
        <right style="medium">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9"/>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rgb="FFFFFF00"/>
        </patternFill>
      </fill>
      <alignment horizontal="center" vertical="bottom" textRotation="0" wrapText="0" indent="0" justifyLastLine="0" shrinkToFit="0" readingOrder="0"/>
      <border diagonalUp="0" diagonalDown="0">
        <left style="medium">
          <color indexed="64"/>
        </left>
        <right style="medium">
          <color indexed="64"/>
        </right>
        <top/>
        <bottom style="medium">
          <color indexed="64"/>
        </bottom>
        <vertical/>
        <horizontal/>
      </border>
      <protection locked="0" hidden="0"/>
    </dxf>
    <dxf>
      <font>
        <b val="0"/>
        <i/>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right" vertical="bottom" textRotation="0" wrapText="0" indent="0" justifyLastLine="0" shrinkToFit="0" readingOrder="0"/>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ill>
        <patternFill patternType="solid">
          <fgColor indexed="64"/>
          <bgColor theme="8" tint="0.59999389629810485"/>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ont>
        <b/>
        <i val="0"/>
        <strike val="0"/>
        <condense val="0"/>
        <extend val="0"/>
        <outline val="0"/>
        <shadow val="0"/>
        <u val="none"/>
        <vertAlign val="baseline"/>
        <sz val="11"/>
        <color theme="1"/>
        <name val="Calibri"/>
        <scheme val="minor"/>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3" formatCode="0%"/>
      <fill>
        <patternFill patternType="solid">
          <fgColor indexed="64"/>
          <bgColor theme="2" tint="-9.9978637043366805E-2"/>
        </patternFill>
      </fill>
      <border diagonalUp="0" diagonalDown="0">
        <left style="thin">
          <color indexed="64"/>
        </left>
        <right/>
        <top/>
        <bottom style="thin">
          <color indexed="64"/>
        </bottom>
        <vertical/>
        <horizontal/>
      </border>
    </dxf>
    <dxf>
      <numFmt numFmtId="13" formatCode="0%"/>
      <fill>
        <patternFill patternType="solid">
          <fgColor indexed="64"/>
          <bgColor theme="2" tint="-9.9978637043366805E-2"/>
        </patternFill>
      </fill>
      <border diagonalUp="0" diagonalDown="0">
        <left style="thin">
          <color indexed="64"/>
        </left>
        <right style="thin">
          <color indexed="64"/>
        </right>
        <top/>
        <bottom style="thin">
          <color indexed="64"/>
        </bottom>
        <vertical/>
        <horizontal/>
      </border>
    </dxf>
    <dxf>
      <numFmt numFmtId="13" formatCode="0%"/>
      <fill>
        <patternFill patternType="solid">
          <fgColor indexed="64"/>
          <bgColor theme="2" tint="-9.9978637043366805E-2"/>
        </patternFill>
      </fill>
      <border diagonalUp="0" diagonalDown="0">
        <left/>
        <right style="thin">
          <color indexed="64"/>
        </right>
        <top/>
        <bottom style="thin">
          <color indexed="64"/>
        </bottom>
        <vertical/>
        <horizontal/>
      </border>
    </dxf>
    <dxf>
      <numFmt numFmtId="13" formatCode="0%"/>
      <fill>
        <patternFill patternType="solid">
          <fgColor indexed="64"/>
          <bgColor rgb="FFFFFF00"/>
        </patternFill>
      </fill>
      <alignment horizontal="center" vertical="bottom" textRotation="0" wrapText="0" indent="0" justifyLastLine="0" shrinkToFit="0" readingOrder="0"/>
      <border diagonalUp="0" diagonalDown="0">
        <left style="medium">
          <color indexed="64"/>
        </left>
        <right style="medium">
          <color indexed="64"/>
        </right>
        <top/>
        <bottom style="medium">
          <color indexed="64"/>
        </bottom>
        <vertical/>
        <horizontal/>
      </border>
      <protection locked="0" hidden="0"/>
    </dxf>
    <dxf>
      <font>
        <b val="0"/>
        <i/>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rder>
    </dxf>
    <dxf>
      <numFmt numFmtId="164" formatCode="_(* #,##0_);_(* \(#,##0\);_(* &quot;-&quot;??_);_(@_)"/>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5" tint="0.79998168889431442"/>
        </patternFill>
      </fill>
    </dxf>
    <dxf>
      <numFmt numFmtId="164" formatCode="_(* #,##0_);_(* \(#,##0\);_(* &quot;-&quot;??_);_(@_)"/>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fill>
        <patternFill patternType="solid">
          <fgColor indexed="64"/>
          <bgColor theme="5" tint="0.59999389629810485"/>
        </patternFill>
      </fill>
    </dxf>
    <dxf>
      <numFmt numFmtId="164" formatCode="_(* #,##0_);_(* \(#,##0\);_(* &quot;-&quot;??_);_(@_)"/>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dxf>
    <dxf>
      <font>
        <b/>
        <i val="0"/>
        <strike val="0"/>
        <condense val="0"/>
        <extend val="0"/>
        <outline val="0"/>
        <shadow val="0"/>
        <u val="none"/>
        <vertAlign val="baseline"/>
        <sz val="11"/>
        <color auto="1"/>
        <name val="Calibri"/>
        <scheme val="minor"/>
      </font>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6" tint="0.59999389629810485"/>
        </patternFill>
      </fill>
    </dxf>
    <dxf>
      <font>
        <b/>
        <i val="0"/>
        <strike val="0"/>
        <condense val="0"/>
        <extend val="0"/>
        <outline val="0"/>
        <shadow val="0"/>
        <u val="none"/>
        <vertAlign val="baseline"/>
        <sz val="11"/>
        <color auto="1"/>
        <name val="Calibri"/>
        <scheme val="minor"/>
      </font>
      <fill>
        <patternFill patternType="solid">
          <fgColor indexed="64"/>
          <bgColor theme="6"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font>
    </dxf>
    <dxf>
      <font>
        <b val="0"/>
        <i val="0"/>
        <strike val="0"/>
        <condense val="0"/>
        <extend val="0"/>
        <outline val="0"/>
        <shadow val="0"/>
        <u val="none"/>
        <vertAlign val="baseline"/>
        <sz val="11"/>
        <color theme="1"/>
        <name val="Calibri"/>
        <scheme val="minor"/>
      </font>
      <numFmt numFmtId="13" formatCode="0%"/>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3" formatCode="0%"/>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1"/>
        </patternFill>
      </fill>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outline="0">
        <left style="medium">
          <color indexed="64"/>
        </left>
        <right/>
        <top/>
        <bottom/>
      </border>
    </dxf>
    <dxf>
      <fill>
        <patternFill patternType="solid">
          <fgColor indexed="64"/>
          <bgColor theme="0" tint="-0.14999847407452621"/>
        </patternFill>
      </fill>
      <border diagonalUp="0" diagonalDown="0">
        <left style="medium">
          <color indexed="64"/>
        </left>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fill>
        <patternFill patternType="solid">
          <fgColor indexed="64"/>
          <bgColor theme="0" tint="-0.14999847407452621"/>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39997558519241921"/>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1"/>
        <color theme="1"/>
        <name val="Calibri"/>
        <scheme val="minor"/>
      </font>
      <fill>
        <patternFill patternType="solid">
          <fgColor indexed="64"/>
          <bgColor theme="4"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b val="0"/>
        <i val="0"/>
        <strike val="0"/>
        <condense val="0"/>
        <extend val="0"/>
        <outline val="0"/>
        <shadow val="0"/>
        <u val="none"/>
        <vertAlign val="baseline"/>
        <sz val="11"/>
        <color theme="1"/>
        <name val="Calibri"/>
        <scheme val="minor"/>
      </font>
      <fill>
        <patternFill patternType="solid">
          <fgColor indexed="64"/>
          <bgColor theme="7" tint="0.59999389629810485"/>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7"/>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9" tint="0.39997558519241921"/>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fill>
        <patternFill patternType="solid">
          <fgColor indexed="64"/>
          <bgColor theme="9"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9"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style="medium">
          <color indexed="64"/>
        </right>
        <top style="medium">
          <color indexed="64"/>
        </top>
        <bottom/>
      </border>
      <protection locked="0" hidden="0"/>
    </dxf>
    <dxf>
      <numFmt numFmtId="164" formatCode="_(* #,##0_);_(* \(#,##0\);_(* &quot;-&quot;??_);_(@_)"/>
      <fill>
        <patternFill patternType="solid">
          <fgColor indexed="64"/>
          <bgColor theme="2" tint="-9.9978637043366805E-2"/>
        </patternFill>
      </fill>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protection locked="0" hidden="0"/>
    </dxf>
    <dxf>
      <fill>
        <patternFill patternType="solid">
          <fgColor indexed="64"/>
          <bgColor theme="2" tint="-9.9978637043366805E-2"/>
        </patternFill>
      </fill>
      <border diagonalUp="0" diagonalDown="0" outline="0">
        <left/>
        <right style="medium">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9"/>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9" tint="0.59999389629810485"/>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ill>
        <patternFill patternType="solid">
          <fgColor indexed="64"/>
          <bgColor theme="9" tint="0.59999389629810485"/>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style="medium">
          <color indexed="64"/>
        </right>
        <top style="medium">
          <color indexed="64"/>
        </top>
        <bottom/>
      </border>
      <protection locked="0" hidden="0"/>
    </dxf>
    <dxf>
      <numFmt numFmtId="164" formatCode="_(* #,##0_);_(* \(#,##0\);_(* &quot;-&quot;??_);_(@_)"/>
      <fill>
        <patternFill patternType="solid">
          <fgColor indexed="64"/>
          <bgColor theme="2" tint="-9.9978637043366805E-2"/>
        </patternFill>
      </fill>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protection locked="0" hidden="0"/>
    </dxf>
    <dxf>
      <fill>
        <patternFill patternType="solid">
          <fgColor indexed="64"/>
          <bgColor theme="2" tint="-9.9978637043366805E-2"/>
        </patternFill>
      </fill>
      <border diagonalUp="0" diagonalDown="0" outline="0">
        <left/>
        <right style="medium">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9"/>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8" tint="0.5999938962981048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rgb="FFFFFF00"/>
        </patternFill>
      </fill>
      <alignment horizontal="center" vertical="bottom" textRotation="0" wrapText="0" indent="0" justifyLastLine="0" shrinkToFit="0" readingOrder="0"/>
      <border diagonalUp="0" diagonalDown="0">
        <left style="medium">
          <color indexed="64"/>
        </left>
        <right style="medium">
          <color indexed="64"/>
        </right>
        <top/>
        <bottom style="medium">
          <color indexed="64"/>
        </bottom>
        <vertical/>
        <horizontal/>
      </border>
      <protection locked="0" hidden="0"/>
    </dxf>
    <dxf>
      <font>
        <b val="0"/>
        <i/>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bottom style="thin">
          <color indexed="64"/>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fill>
        <patternFill patternType="solid">
          <fgColor indexed="64"/>
          <bgColor theme="5"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5"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3" formatCode="0%"/>
      <fill>
        <patternFill patternType="solid">
          <fgColor indexed="64"/>
          <bgColor theme="2" tint="-9.9978637043366805E-2"/>
        </patternFill>
      </fill>
      <border diagonalUp="0" diagonalDown="0">
        <left style="thin">
          <color indexed="64"/>
        </left>
        <right/>
        <top/>
        <bottom style="thin">
          <color indexed="64"/>
        </bottom>
        <vertical/>
        <horizontal/>
      </border>
    </dxf>
    <dxf>
      <numFmt numFmtId="13" formatCode="0%"/>
      <fill>
        <patternFill patternType="solid">
          <fgColor indexed="64"/>
          <bgColor theme="2" tint="-9.9978637043366805E-2"/>
        </patternFill>
      </fill>
      <border diagonalUp="0" diagonalDown="0">
        <left style="thin">
          <color indexed="64"/>
        </left>
        <right style="thin">
          <color indexed="64"/>
        </right>
        <top/>
        <bottom style="thin">
          <color indexed="64"/>
        </bottom>
        <vertical/>
        <horizontal/>
      </border>
    </dxf>
    <dxf>
      <numFmt numFmtId="13" formatCode="0%"/>
      <fill>
        <patternFill patternType="solid">
          <fgColor indexed="64"/>
          <bgColor theme="2" tint="-9.9978637043366805E-2"/>
        </patternFill>
      </fill>
      <border diagonalUp="0" diagonalDown="0">
        <left/>
        <right style="thin">
          <color indexed="64"/>
        </right>
        <top/>
        <bottom style="thin">
          <color indexed="64"/>
        </bottom>
        <vertical/>
        <horizontal/>
      </border>
    </dxf>
    <dxf>
      <numFmt numFmtId="13" formatCode="0%"/>
      <fill>
        <patternFill patternType="solid">
          <fgColor indexed="64"/>
          <bgColor rgb="FFFFFF00"/>
        </patternFill>
      </fill>
      <alignment horizontal="center" vertical="bottom" textRotation="0" wrapText="0" indent="0" justifyLastLine="0" shrinkToFit="0" readingOrder="0"/>
      <border diagonalUp="0" diagonalDown="0">
        <left style="medium">
          <color indexed="64"/>
        </left>
        <right style="medium">
          <color indexed="64"/>
        </right>
        <top/>
        <bottom style="medium">
          <color indexed="64"/>
        </bottom>
        <vertical/>
        <horizontal/>
      </border>
      <protection locked="0" hidden="0"/>
    </dxf>
    <dxf>
      <font>
        <b val="0"/>
        <i/>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rder>
    </dxf>
    <dxf>
      <font>
        <b/>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6"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1"/>
        </patternFill>
      </fill>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outline="0">
        <left style="medium">
          <color indexed="64"/>
        </left>
        <right/>
        <top/>
        <bottom/>
      </border>
    </dxf>
    <dxf>
      <fill>
        <patternFill patternType="solid">
          <fgColor indexed="64"/>
          <bgColor theme="0" tint="-0.14999847407452621"/>
        </patternFill>
      </fill>
      <border diagonalUp="0" diagonalDown="0">
        <left style="medium">
          <color indexed="64"/>
        </left>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font>
        <b/>
        <i val="0"/>
        <strike val="0"/>
        <condense val="0"/>
        <extend val="0"/>
        <outline val="0"/>
        <shadow val="0"/>
        <u val="none"/>
        <vertAlign val="baseline"/>
        <sz val="11"/>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numFmt numFmtId="164" formatCode="_(* #,##0_);_(* \(#,##0\);_(* &quot;-&quot;??_);_(@_)"/>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3" formatCode="0%"/>
      <fill>
        <patternFill patternType="solid">
          <fgColor indexed="64"/>
          <bgColor theme="2" tint="-9.9978637043366805E-2"/>
        </patternFill>
      </fill>
      <border diagonalUp="0" diagonalDown="0">
        <left style="thin">
          <color indexed="64"/>
        </left>
        <right/>
        <top/>
        <bottom style="thin">
          <color indexed="64"/>
        </bottom>
        <vertical/>
        <horizontal/>
      </border>
    </dxf>
    <dxf>
      <numFmt numFmtId="13" formatCode="0%"/>
      <fill>
        <patternFill patternType="solid">
          <fgColor indexed="64"/>
          <bgColor theme="2" tint="-9.9978637043366805E-2"/>
        </patternFill>
      </fill>
      <border diagonalUp="0" diagonalDown="0">
        <left style="thin">
          <color indexed="64"/>
        </left>
        <right style="thin">
          <color indexed="64"/>
        </right>
        <top/>
        <bottom style="thin">
          <color indexed="64"/>
        </bottom>
        <vertical/>
        <horizontal/>
      </border>
    </dxf>
    <dxf>
      <numFmt numFmtId="13" formatCode="0%"/>
      <fill>
        <patternFill patternType="solid">
          <fgColor indexed="64"/>
          <bgColor theme="2" tint="-9.9978637043366805E-2"/>
        </patternFill>
      </fill>
      <border diagonalUp="0" diagonalDown="0">
        <left/>
        <right style="thin">
          <color indexed="64"/>
        </right>
        <top/>
        <bottom style="thin">
          <color indexed="64"/>
        </bottom>
        <vertical/>
        <horizontal/>
      </border>
    </dxf>
    <dxf>
      <numFmt numFmtId="13" formatCode="0%"/>
      <fill>
        <patternFill patternType="solid">
          <fgColor indexed="64"/>
          <bgColor rgb="FFFFFF00"/>
        </patternFill>
      </fill>
      <alignment horizontal="center" vertical="bottom" textRotation="0" wrapText="0" indent="0" justifyLastLine="0" shrinkToFit="0" readingOrder="0"/>
      <border diagonalUp="0" diagonalDown="0">
        <left style="medium">
          <color indexed="64"/>
        </left>
        <right style="medium">
          <color indexed="64"/>
        </right>
        <top/>
        <bottom style="medium">
          <color indexed="64"/>
        </bottom>
        <vertical/>
        <horizontal/>
      </border>
      <protection locked="0" hidden="0"/>
    </dxf>
    <dxf>
      <font>
        <b val="0"/>
        <i/>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rder>
    </dxf>
    <dxf>
      <font>
        <b/>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5"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fill>
        <patternFill patternType="solid">
          <fgColor indexed="64"/>
          <bgColor theme="5"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theme="2" tint="-9.9978637043366805E-2"/>
        </patternFill>
      </fill>
      <alignment horizontal="right"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fill>
        <patternFill patternType="solid">
          <fgColor indexed="64"/>
          <bgColor rgb="FFFFFF00"/>
        </patternFill>
      </fill>
      <alignment horizontal="center" vertical="bottom" textRotation="0" wrapText="0" indent="0" justifyLastLine="0" shrinkToFit="0" readingOrder="0"/>
      <border diagonalUp="0" diagonalDown="0">
        <left style="medium">
          <color indexed="64"/>
        </left>
        <right style="medium">
          <color indexed="64"/>
        </right>
        <top/>
        <bottom style="medium">
          <color indexed="64"/>
        </bottom>
        <vertical/>
        <horizontal/>
      </border>
      <protection locked="0" hidden="0"/>
    </dxf>
    <dxf>
      <font>
        <b val="0"/>
        <i/>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bottom style="thin">
          <color indexed="64"/>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8" tint="0.5999938962981048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style="medium">
          <color indexed="64"/>
        </right>
        <top style="medium">
          <color indexed="64"/>
        </top>
        <bottom/>
      </border>
      <protection locked="0" hidden="0"/>
    </dxf>
    <dxf>
      <numFmt numFmtId="164" formatCode="_(* #,##0_);_(* \(#,##0\);_(* &quot;-&quot;??_);_(@_)"/>
      <fill>
        <patternFill patternType="solid">
          <fgColor indexed="64"/>
          <bgColor theme="2" tint="-9.9978637043366805E-2"/>
        </patternFill>
      </fill>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protection locked="0" hidden="0"/>
    </dxf>
    <dxf>
      <fill>
        <patternFill patternType="solid">
          <fgColor indexed="64"/>
          <bgColor theme="2" tint="-9.9978637043366805E-2"/>
        </patternFill>
      </fill>
      <border diagonalUp="0" diagonalDown="0" outline="0">
        <left/>
        <right style="medium">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9"/>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9" tint="0.59999389629810485"/>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ill>
        <patternFill patternType="solid">
          <fgColor indexed="64"/>
          <bgColor theme="9" tint="0.59999389629810485"/>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9" tint="0.39997558519241921"/>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fill>
        <patternFill patternType="solid">
          <fgColor indexed="64"/>
          <bgColor theme="9"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9"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style="medium">
          <color indexed="64"/>
        </right>
        <top style="medium">
          <color indexed="64"/>
        </top>
        <bottom/>
      </border>
      <protection locked="0" hidden="0"/>
    </dxf>
    <dxf>
      <numFmt numFmtId="164" formatCode="_(* #,##0_);_(* \(#,##0\);_(* &quot;-&quot;??_);_(@_)"/>
      <fill>
        <patternFill patternType="solid">
          <fgColor indexed="64"/>
          <bgColor theme="2" tint="-9.9978637043366805E-2"/>
        </patternFill>
      </fill>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protection locked="0" hidden="0"/>
    </dxf>
    <dxf>
      <fill>
        <patternFill patternType="solid">
          <fgColor indexed="64"/>
          <bgColor theme="2" tint="-9.9978637043366805E-2"/>
        </patternFill>
      </fill>
      <border diagonalUp="0" diagonalDown="0" outline="0">
        <left/>
        <right style="medium">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9"/>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b val="0"/>
        <i val="0"/>
        <strike val="0"/>
        <condense val="0"/>
        <extend val="0"/>
        <outline val="0"/>
        <shadow val="0"/>
        <u val="none"/>
        <vertAlign val="baseline"/>
        <sz val="11"/>
        <color theme="1"/>
        <name val="Calibri"/>
        <scheme val="minor"/>
      </font>
      <fill>
        <patternFill patternType="solid">
          <fgColor indexed="64"/>
          <bgColor theme="7" tint="0.59999389629810485"/>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7"/>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1"/>
        <color theme="1"/>
        <name val="Calibri"/>
        <scheme val="minor"/>
      </font>
      <fill>
        <patternFill patternType="solid">
          <fgColor indexed="64"/>
          <bgColor theme="4"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39997558519241921"/>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0" tint="-0.14999847407452621"/>
        </patternFill>
      </fill>
      <border diagonalUp="0" diagonalDown="0">
        <left style="thin">
          <color indexed="64"/>
        </left>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fill>
        <patternFill patternType="solid">
          <fgColor indexed="64"/>
          <bgColor theme="0" tint="-0.14999847407452621"/>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_(* #,##0_);_(* \(#,##0\);_(* &quot;-&quot;??_);_(@_)"/>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6"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border diagonalUp="0" diagonalDown="0" outline="0">
        <left style="medium">
          <color indexed="64"/>
        </left>
        <right/>
        <top/>
        <bottom/>
      </border>
    </dxf>
    <dxf>
      <fill>
        <patternFill patternType="solid">
          <fgColor indexed="64"/>
          <bgColor theme="0" tint="-0.14999847407452621"/>
        </patternFill>
      </fill>
      <border diagonalUp="0" diagonalDown="0">
        <left style="medium">
          <color indexed="64"/>
        </left>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font>
        <b/>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0" indent="0" justifyLastLine="0" shrinkToFit="0" readingOrder="0"/>
    </dxf>
    <dxf>
      <fill>
        <patternFill>
          <bgColor rgb="FFFFFF00"/>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1"/>
        <name val="Calibri"/>
        <scheme val="minor"/>
      </font>
      <fill>
        <patternFill patternType="solid">
          <fgColor indexed="64"/>
          <bgColor theme="1"/>
        </patternFill>
      </fill>
    </dxf>
    <dxf>
      <numFmt numFmtId="3" formatCode="#,##0"/>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top/>
        <bottom/>
        <vertical/>
        <horizontal/>
      </border>
    </dxf>
    <dxf>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style="thin">
          <color indexed="64"/>
        </right>
        <top style="thin">
          <color indexed="64"/>
        </top>
        <bottom style="hair">
          <color indexed="64"/>
        </bottom>
        <vertical/>
        <horizontal/>
      </border>
    </dxf>
    <dxf>
      <border outline="0">
        <right style="medium">
          <color indexed="64"/>
        </right>
        <top style="thin">
          <color indexed="64"/>
        </top>
        <bottom style="medium">
          <color indexed="64"/>
        </bottom>
      </border>
    </dxf>
    <dxf>
      <border outline="0">
        <left style="medium">
          <color indexed="64"/>
        </left>
        <right style="medium">
          <color indexed="64"/>
        </right>
      </border>
    </dxf>
    <dxf>
      <numFmt numFmtId="3" formatCode="#,##0"/>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top/>
        <bottom/>
        <vertical/>
        <horizontal/>
      </border>
    </dxf>
    <dxf>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style="thin">
          <color indexed="64"/>
        </right>
        <top style="thin">
          <color indexed="64"/>
        </top>
        <bottom style="hair">
          <color indexed="64"/>
        </bottom>
        <vertical/>
        <horizontal/>
      </border>
    </dxf>
    <dxf>
      <border outline="0">
        <right style="medium">
          <color indexed="64"/>
        </right>
        <top style="thin">
          <color indexed="64"/>
        </top>
        <bottom style="medium">
          <color indexed="64"/>
        </bottom>
      </border>
    </dxf>
    <dxf>
      <numFmt numFmtId="3" formatCode="#,##0"/>
      <fill>
        <patternFill patternType="solid">
          <fgColor indexed="64"/>
          <bgColor theme="0"/>
        </patternFill>
      </fill>
      <alignment horizontal="general" vertical="center" textRotation="0" wrapText="0" indent="0" justifyLastLine="0" shrinkToFit="0" readingOrder="0"/>
    </dxf>
    <dxf>
      <border outline="0">
        <left style="medium">
          <color indexed="64"/>
        </left>
        <right style="medium">
          <color indexed="64"/>
        </right>
        <bottom style="medium">
          <color indexed="64"/>
        </bottom>
      </border>
    </dxf>
    <dxf>
      <numFmt numFmtId="3" formatCode="#,##0"/>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top/>
        <bottom/>
        <vertical/>
        <horizontal/>
      </border>
    </dxf>
    <dxf>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style="thin">
          <color indexed="64"/>
        </right>
        <top style="thin">
          <color indexed="64"/>
        </top>
        <bottom style="hair">
          <color indexed="64"/>
        </bottom>
        <vertical/>
        <horizontal/>
      </border>
    </dxf>
    <dxf>
      <border outline="0">
        <right style="medium">
          <color indexed="64"/>
        </right>
        <top style="thin">
          <color indexed="64"/>
        </top>
        <bottom style="medium">
          <color indexed="64"/>
        </bottom>
      </border>
    </dxf>
    <dxf>
      <border outline="0">
        <left style="medium">
          <color indexed="64"/>
        </left>
        <right style="medium">
          <color indexed="64"/>
        </right>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border outline="0">
        <left style="medium">
          <color indexed="64"/>
        </left>
        <right style="medium">
          <color indexed="64"/>
        </right>
        <bottom style="medium">
          <color indexed="64"/>
        </bottom>
      </border>
    </dxf>
    <dxf>
      <fill>
        <patternFill patternType="solid">
          <fgColor indexed="64"/>
          <bgColor theme="1"/>
        </patternFill>
      </fill>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8" tint="0.79998168889431442"/>
        </patternFill>
      </fill>
    </dxf>
    <dxf>
      <border outline="0">
        <left style="medium">
          <color indexed="64"/>
        </left>
        <right style="medium">
          <color indexed="64"/>
        </right>
      </border>
    </dxf>
    <dxf>
      <font>
        <b/>
        <i val="0"/>
        <strike val="0"/>
        <condense val="0"/>
        <extend val="0"/>
        <outline val="0"/>
        <shadow val="0"/>
        <u val="none"/>
        <vertAlign val="baseline"/>
        <sz val="11"/>
        <color theme="1"/>
        <name val="Calibri"/>
        <scheme val="minor"/>
      </font>
      <fill>
        <patternFill patternType="solid">
          <fgColor indexed="64"/>
          <bgColor theme="1"/>
        </patternFill>
      </fill>
    </dxf>
    <dxf>
      <numFmt numFmtId="3" formatCode="#,##0"/>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medium">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style="hair">
          <color indexed="64"/>
        </top>
        <bottom/>
        <vertical/>
        <horizontal/>
      </border>
    </dxf>
    <dxf>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style="thin">
          <color indexed="64"/>
        </right>
        <top style="hair">
          <color indexed="64"/>
        </top>
        <bottom/>
        <vertical/>
        <horizontal/>
      </border>
    </dxf>
    <dxf>
      <border outline="0">
        <right style="medium">
          <color indexed="64"/>
        </right>
        <bottom style="medium">
          <color indexed="64"/>
        </bottom>
      </border>
    </dxf>
    <dxf>
      <fill>
        <patternFill patternType="solid">
          <fgColor indexed="64"/>
          <bgColor theme="0"/>
        </patternFill>
      </fill>
      <alignment horizontal="right" vertical="center" textRotation="0" wrapText="0" indent="0" justifyLastLine="0" shrinkToFit="0" readingOrder="0"/>
    </dxf>
    <dxf>
      <border outline="0">
        <left style="medium">
          <color indexed="64"/>
        </left>
        <right style="medium">
          <color indexed="64"/>
        </right>
        <bottom style="medium">
          <color indexed="64"/>
        </bottom>
      </border>
    </dxf>
    <dxf>
      <fill>
        <patternFill patternType="solid">
          <fgColor indexed="64"/>
          <bgColor rgb="FFFFFF0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0.0%"/>
      <fill>
        <patternFill patternType="solid">
          <fgColor indexed="64"/>
          <bgColor rgb="FFFFFF0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protection locked="0" hidden="0"/>
    </dxf>
    <dxf>
      <border outline="0">
        <left style="medium">
          <color indexed="64"/>
        </left>
        <right style="medium">
          <color indexed="64"/>
        </right>
        <top style="medium">
          <color indexed="64"/>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0" defaultTableStyle="TableStyleMedium2"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1</a:t>
            </a:r>
          </a:p>
          <a:p>
            <a:pPr>
              <a:defRPr sz="1000"/>
            </a:pPr>
            <a:r>
              <a:rPr lang="en-US" sz="1000"/>
              <a:t>CA Vehicle Numbers</a:t>
            </a:r>
          </a:p>
        </c:rich>
      </c:tx>
      <c:layout/>
      <c:overlay val="0"/>
    </c:title>
    <c:autoTitleDeleted val="0"/>
    <c:plotArea>
      <c:layout>
        <c:manualLayout>
          <c:layoutTarget val="inner"/>
          <c:xMode val="edge"/>
          <c:yMode val="edge"/>
          <c:x val="0.10045852048056728"/>
          <c:y val="0.13271875783802345"/>
          <c:w val="0.79602019494110277"/>
          <c:h val="0.76341885567570222"/>
        </c:manualLayout>
      </c:layout>
      <c:barChart>
        <c:barDir val="col"/>
        <c:grouping val="stacked"/>
        <c:varyColors val="0"/>
        <c:ser>
          <c:idx val="3"/>
          <c:order val="0"/>
          <c:tx>
            <c:strRef>
              <c:f>Scenarios!$A$80</c:f>
              <c:strCache>
                <c:ptCount val="1"/>
                <c:pt idx="0">
                  <c:v>Annual PHEVs</c:v>
                </c:pt>
              </c:strCache>
            </c:strRef>
          </c:tx>
          <c:spPr>
            <a:solidFill>
              <a:schemeClr val="accent2"/>
            </a:solidFill>
          </c:spPr>
          <c:invertIfNegative val="0"/>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Scenarios!$C$80:$J$80</c:f>
              <c:numCache>
                <c:formatCode>#,##0</c:formatCode>
                <c:ptCount val="8"/>
                <c:pt idx="0">
                  <c:v>35056.97532009265</c:v>
                </c:pt>
                <c:pt idx="1">
                  <c:v>41962.929174672114</c:v>
                </c:pt>
                <c:pt idx="2">
                  <c:v>55472.455040325505</c:v>
                </c:pt>
                <c:pt idx="3">
                  <c:v>63389.51861369783</c:v>
                </c:pt>
                <c:pt idx="4">
                  <c:v>66446.363161562156</c:v>
                </c:pt>
                <c:pt idx="5">
                  <c:v>72190.096393702683</c:v>
                </c:pt>
                <c:pt idx="6">
                  <c:v>77484.279697898804</c:v>
                </c:pt>
                <c:pt idx="7">
                  <c:v>82862.701835662709</c:v>
                </c:pt>
              </c:numCache>
            </c:numRef>
          </c:val>
          <c:extLst>
            <c:ext xmlns:c16="http://schemas.microsoft.com/office/drawing/2014/chart" uri="{C3380CC4-5D6E-409C-BE32-E72D297353CC}">
              <c16:uniqueId val="{00000000-D71F-4A81-9E0D-4B6DD30769F7}"/>
            </c:ext>
          </c:extLst>
        </c:ser>
        <c:ser>
          <c:idx val="1"/>
          <c:order val="1"/>
          <c:tx>
            <c:strRef>
              <c:f>Scenarios!$A$78</c:f>
              <c:strCache>
                <c:ptCount val="1"/>
                <c:pt idx="0">
                  <c:v>Annual BEVs</c:v>
                </c:pt>
              </c:strCache>
            </c:strRef>
          </c:tx>
          <c:spPr>
            <a:solidFill>
              <a:schemeClr val="accent1"/>
            </a:solidFill>
          </c:spPr>
          <c:invertIfNegative val="0"/>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Scenarios!$C$78:$J$78</c:f>
              <c:numCache>
                <c:formatCode>#,##0</c:formatCode>
                <c:ptCount val="8"/>
                <c:pt idx="0">
                  <c:v>7712.0803673287091</c:v>
                </c:pt>
                <c:pt idx="1">
                  <c:v>14347.848725177952</c:v>
                </c:pt>
                <c:pt idx="2">
                  <c:v>20991.887891484836</c:v>
                </c:pt>
                <c:pt idx="3">
                  <c:v>26906.116039735112</c:v>
                </c:pt>
                <c:pt idx="4">
                  <c:v>29179.11476206037</c:v>
                </c:pt>
                <c:pt idx="5">
                  <c:v>33344.414677778361</c:v>
                </c:pt>
                <c:pt idx="6">
                  <c:v>37082.920836523961</c:v>
                </c:pt>
                <c:pt idx="7">
                  <c:v>40635.904453897783</c:v>
                </c:pt>
              </c:numCache>
            </c:numRef>
          </c:val>
          <c:extLst>
            <c:ext xmlns:c16="http://schemas.microsoft.com/office/drawing/2014/chart" uri="{C3380CC4-5D6E-409C-BE32-E72D297353CC}">
              <c16:uniqueId val="{00000001-D71F-4A81-9E0D-4B6DD30769F7}"/>
            </c:ext>
          </c:extLst>
        </c:ser>
        <c:ser>
          <c:idx val="2"/>
          <c:order val="2"/>
          <c:tx>
            <c:strRef>
              <c:f>Scenarios!$A$79</c:f>
              <c:strCache>
                <c:ptCount val="1"/>
                <c:pt idx="0">
                  <c:v>Annual FCEVs</c:v>
                </c:pt>
              </c:strCache>
            </c:strRef>
          </c:tx>
          <c:invertIfNegative val="0"/>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Scenarios!$C$79:$J$79</c:f>
              <c:numCache>
                <c:formatCode>#,##0</c:formatCode>
                <c:ptCount val="8"/>
                <c:pt idx="0">
                  <c:v>2031.4254178942599</c:v>
                </c:pt>
                <c:pt idx="1">
                  <c:v>4153.6076138830413</c:v>
                </c:pt>
                <c:pt idx="2">
                  <c:v>6287.6203834533981</c:v>
                </c:pt>
                <c:pt idx="3">
                  <c:v>8483.2473723295934</c:v>
                </c:pt>
                <c:pt idx="4">
                  <c:v>14126.712454923143</c:v>
                </c:pt>
                <c:pt idx="5">
                  <c:v>16903.909005546564</c:v>
                </c:pt>
                <c:pt idx="6">
                  <c:v>19663.490948551633</c:v>
                </c:pt>
                <c:pt idx="7">
                  <c:v>22525.167428864272</c:v>
                </c:pt>
              </c:numCache>
            </c:numRef>
          </c:val>
          <c:extLst>
            <c:ext xmlns:c16="http://schemas.microsoft.com/office/drawing/2014/chart" uri="{C3380CC4-5D6E-409C-BE32-E72D297353CC}">
              <c16:uniqueId val="{00000002-D71F-4A81-9E0D-4B6DD30769F7}"/>
            </c:ext>
          </c:extLst>
        </c:ser>
        <c:dLbls>
          <c:showLegendKey val="0"/>
          <c:showVal val="0"/>
          <c:showCatName val="0"/>
          <c:showSerName val="0"/>
          <c:showPercent val="0"/>
          <c:showBubbleSize val="0"/>
        </c:dLbls>
        <c:gapWidth val="150"/>
        <c:overlap val="100"/>
        <c:axId val="135531520"/>
        <c:axId val="135537408"/>
      </c:barChart>
      <c:lineChart>
        <c:grouping val="standard"/>
        <c:varyColors val="0"/>
        <c:ser>
          <c:idx val="0"/>
          <c:order val="3"/>
          <c:tx>
            <c:strRef>
              <c:f>Scenarios!$A$84</c:f>
              <c:strCache>
                <c:ptCount val="1"/>
                <c:pt idx="0">
                  <c:v>cumulative CA (2018-2025)</c:v>
                </c:pt>
              </c:strCache>
            </c:strRef>
          </c:tx>
          <c:spPr>
            <a:ln>
              <a:solidFill>
                <a:schemeClr val="tx1"/>
              </a:solidFill>
            </a:ln>
          </c:spPr>
          <c:marker>
            <c:symbol val="none"/>
          </c:marker>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Scenarios!$C$84:$J$84</c:f>
              <c:numCache>
                <c:formatCode>#,##0</c:formatCode>
                <c:ptCount val="8"/>
                <c:pt idx="0">
                  <c:v>198959.83317021606</c:v>
                </c:pt>
                <c:pt idx="1">
                  <c:v>259424.21868394915</c:v>
                </c:pt>
                <c:pt idx="2">
                  <c:v>342176.18199921295</c:v>
                </c:pt>
                <c:pt idx="3">
                  <c:v>440955.06402497547</c:v>
                </c:pt>
                <c:pt idx="4">
                  <c:v>550707.25440352119</c:v>
                </c:pt>
                <c:pt idx="5">
                  <c:v>673145.67448054871</c:v>
                </c:pt>
                <c:pt idx="6">
                  <c:v>807376.36596352293</c:v>
                </c:pt>
                <c:pt idx="7">
                  <c:v>953400.13968194777</c:v>
                </c:pt>
              </c:numCache>
            </c:numRef>
          </c:val>
          <c:smooth val="0"/>
          <c:extLst>
            <c:ext xmlns:c16="http://schemas.microsoft.com/office/drawing/2014/chart" uri="{C3380CC4-5D6E-409C-BE32-E72D297353CC}">
              <c16:uniqueId val="{00000003-D71F-4A81-9E0D-4B6DD30769F7}"/>
            </c:ext>
          </c:extLst>
        </c:ser>
        <c:dLbls>
          <c:showLegendKey val="0"/>
          <c:showVal val="0"/>
          <c:showCatName val="0"/>
          <c:showSerName val="0"/>
          <c:showPercent val="0"/>
          <c:showBubbleSize val="0"/>
        </c:dLbls>
        <c:marker val="1"/>
        <c:smooth val="0"/>
        <c:axId val="135541504"/>
        <c:axId val="135539328"/>
      </c:lineChart>
      <c:catAx>
        <c:axId val="135531520"/>
        <c:scaling>
          <c:orientation val="minMax"/>
        </c:scaling>
        <c:delete val="0"/>
        <c:axPos val="b"/>
        <c:numFmt formatCode="General" sourceLinked="1"/>
        <c:majorTickMark val="out"/>
        <c:minorTickMark val="none"/>
        <c:tickLblPos val="nextTo"/>
        <c:crossAx val="135537408"/>
        <c:crosses val="autoZero"/>
        <c:auto val="1"/>
        <c:lblAlgn val="ctr"/>
        <c:lblOffset val="100"/>
        <c:noMultiLvlLbl val="0"/>
      </c:catAx>
      <c:valAx>
        <c:axId val="135537408"/>
        <c:scaling>
          <c:orientation val="minMax"/>
        </c:scaling>
        <c:delete val="0"/>
        <c:axPos val="l"/>
        <c:title>
          <c:tx>
            <c:rich>
              <a:bodyPr rot="-5400000" vert="horz"/>
              <a:lstStyle/>
              <a:p>
                <a:pPr>
                  <a:defRPr/>
                </a:pPr>
                <a:r>
                  <a:rPr lang="en-US"/>
                  <a:t>Annual CA PHEV/BEV/FCEV</a:t>
                </a:r>
              </a:p>
            </c:rich>
          </c:tx>
          <c:layout>
            <c:manualLayout>
              <c:xMode val="edge"/>
              <c:yMode val="edge"/>
              <c:x val="1.5722709430687789E-2"/>
              <c:y val="0.27973981431901979"/>
            </c:manualLayout>
          </c:layout>
          <c:overlay val="0"/>
        </c:title>
        <c:numFmt formatCode="#,##0" sourceLinked="1"/>
        <c:majorTickMark val="out"/>
        <c:minorTickMark val="none"/>
        <c:tickLblPos val="nextTo"/>
        <c:crossAx val="135531520"/>
        <c:crosses val="autoZero"/>
        <c:crossBetween val="between"/>
      </c:valAx>
      <c:valAx>
        <c:axId val="135539328"/>
        <c:scaling>
          <c:orientation val="minMax"/>
        </c:scaling>
        <c:delete val="0"/>
        <c:axPos val="r"/>
        <c:title>
          <c:tx>
            <c:rich>
              <a:bodyPr rot="-5400000" vert="horz"/>
              <a:lstStyle/>
              <a:p>
                <a:pPr>
                  <a:defRPr/>
                </a:pPr>
                <a:r>
                  <a:rPr lang="en-US"/>
                  <a:t>Cumulative</a:t>
                </a:r>
                <a:r>
                  <a:rPr lang="en-US" baseline="0"/>
                  <a:t> CA PHEV/BEV/FCEV</a:t>
                </a:r>
                <a:endParaRPr lang="en-US"/>
              </a:p>
            </c:rich>
          </c:tx>
          <c:layout>
            <c:manualLayout>
              <c:xMode val="edge"/>
              <c:yMode val="edge"/>
              <c:x val="0.97218760409388516"/>
              <c:y val="0.30664932435839098"/>
            </c:manualLayout>
          </c:layout>
          <c:overlay val="0"/>
        </c:title>
        <c:numFmt formatCode="#,##0" sourceLinked="1"/>
        <c:majorTickMark val="out"/>
        <c:minorTickMark val="none"/>
        <c:tickLblPos val="nextTo"/>
        <c:crossAx val="135541504"/>
        <c:crosses val="max"/>
        <c:crossBetween val="between"/>
      </c:valAx>
      <c:catAx>
        <c:axId val="135541504"/>
        <c:scaling>
          <c:orientation val="minMax"/>
        </c:scaling>
        <c:delete val="1"/>
        <c:axPos val="b"/>
        <c:numFmt formatCode="General" sourceLinked="1"/>
        <c:majorTickMark val="out"/>
        <c:minorTickMark val="none"/>
        <c:tickLblPos val="nextTo"/>
        <c:crossAx val="135539328"/>
        <c:crosses val="autoZero"/>
        <c:auto val="1"/>
        <c:lblAlgn val="ctr"/>
        <c:lblOffset val="100"/>
        <c:noMultiLvlLbl val="0"/>
      </c:catAx>
      <c:spPr>
        <a:ln>
          <a:solidFill>
            <a:schemeClr val="tx1"/>
          </a:solidFill>
        </a:ln>
      </c:spPr>
    </c:plotArea>
    <c:legend>
      <c:legendPos val="r"/>
      <c:layout>
        <c:manualLayout>
          <c:xMode val="edge"/>
          <c:yMode val="edge"/>
          <c:x val="0.12964101513861837"/>
          <c:y val="0.18743524344652562"/>
          <c:w val="0.30275699912510934"/>
          <c:h val="0.22358486439195099"/>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2</a:t>
            </a:r>
          </a:p>
          <a:p>
            <a:pPr>
              <a:defRPr sz="1000"/>
            </a:pPr>
            <a:r>
              <a:rPr lang="en-US" sz="1000"/>
              <a:t>Cumulative CA Vehicle Numbers</a:t>
            </a:r>
          </a:p>
        </c:rich>
      </c:tx>
      <c:layout/>
      <c:overlay val="0"/>
    </c:title>
    <c:autoTitleDeleted val="0"/>
    <c:plotArea>
      <c:layout>
        <c:manualLayout>
          <c:layoutTarget val="inner"/>
          <c:xMode val="edge"/>
          <c:yMode val="edge"/>
          <c:x val="0.11668072403961727"/>
          <c:y val="0.13329282788579763"/>
          <c:w val="0.85095912761126713"/>
          <c:h val="0.76284454241242827"/>
        </c:manualLayout>
      </c:layout>
      <c:areaChart>
        <c:grouping val="stacked"/>
        <c:varyColors val="0"/>
        <c:ser>
          <c:idx val="2"/>
          <c:order val="0"/>
          <c:tx>
            <c:strRef>
              <c:f>Scenarios!$A$128</c:f>
              <c:strCache>
                <c:ptCount val="1"/>
                <c:pt idx="0">
                  <c:v>cumulative PHEVs</c:v>
                </c:pt>
              </c:strCache>
            </c:strRef>
          </c:tx>
          <c:spPr>
            <a:solidFill>
              <a:schemeClr val="accent2"/>
            </a:solidFill>
            <a:ln w="25400">
              <a:noFill/>
            </a:ln>
          </c:spPr>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Scenarios!$C$128:$J$128</c:f>
              <c:numCache>
                <c:formatCode>#,##0</c:formatCode>
                <c:ptCount val="8"/>
                <c:pt idx="0">
                  <c:v>25959.853255730224</c:v>
                </c:pt>
                <c:pt idx="1">
                  <c:v>57033.597456666321</c:v>
                </c:pt>
                <c:pt idx="2">
                  <c:v>100056.65355930899</c:v>
                </c:pt>
                <c:pt idx="3">
                  <c:v>150548.70235292453</c:v>
                </c:pt>
                <c:pt idx="4">
                  <c:v>208248.7529600875</c:v>
                </c:pt>
                <c:pt idx="5">
                  <c:v>270989.50766415306</c:v>
                </c:pt>
                <c:pt idx="6">
                  <c:v>338378.41550439148</c:v>
                </c:pt>
                <c:pt idx="7">
                  <c:v>410480.84341649426</c:v>
                </c:pt>
              </c:numCache>
            </c:numRef>
          </c:val>
          <c:extLst>
            <c:ext xmlns:c16="http://schemas.microsoft.com/office/drawing/2014/chart" uri="{C3380CC4-5D6E-409C-BE32-E72D297353CC}">
              <c16:uniqueId val="{00000000-A30D-4289-8697-417FEA423DE5}"/>
            </c:ext>
          </c:extLst>
        </c:ser>
        <c:ser>
          <c:idx val="1"/>
          <c:order val="1"/>
          <c:tx>
            <c:strRef>
              <c:f>Scenarios!$A$126</c:f>
              <c:strCache>
                <c:ptCount val="1"/>
                <c:pt idx="0">
                  <c:v>cumulative BEVs</c:v>
                </c:pt>
              </c:strCache>
            </c:strRef>
          </c:tx>
          <c:spPr>
            <a:solidFill>
              <a:schemeClr val="accent1"/>
            </a:solidFill>
          </c:spPr>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Scenarios!$C$126:$J$126</c:f>
              <c:numCache>
                <c:formatCode>#,##0</c:formatCode>
                <c:ptCount val="8"/>
                <c:pt idx="0">
                  <c:v>4913.6987606108751</c:v>
                </c:pt>
                <c:pt idx="1">
                  <c:v>14569.184068188533</c:v>
                </c:pt>
                <c:pt idx="2">
                  <c:v>28985.288871505767</c:v>
                </c:pt>
                <c:pt idx="3">
                  <c:v>48043.89215651252</c:v>
                </c:pt>
                <c:pt idx="4">
                  <c:v>69257.122617662957</c:v>
                </c:pt>
                <c:pt idx="5">
                  <c:v>93616.246604993299</c:v>
                </c:pt>
                <c:pt idx="6">
                  <c:v>120800.77484247927</c:v>
                </c:pt>
                <c:pt idx="7">
                  <c:v>150667.89655723269</c:v>
                </c:pt>
              </c:numCache>
            </c:numRef>
          </c:val>
          <c:extLst>
            <c:ext xmlns:c16="http://schemas.microsoft.com/office/drawing/2014/chart" uri="{C3380CC4-5D6E-409C-BE32-E72D297353CC}">
              <c16:uniqueId val="{00000001-A30D-4289-8697-417FEA423DE5}"/>
            </c:ext>
          </c:extLst>
        </c:ser>
        <c:ser>
          <c:idx val="0"/>
          <c:order val="2"/>
          <c:tx>
            <c:strRef>
              <c:f>Scenarios!$A$127</c:f>
              <c:strCache>
                <c:ptCount val="1"/>
                <c:pt idx="0">
                  <c:v>cumulative FCEVs</c:v>
                </c:pt>
              </c:strCache>
            </c:strRef>
          </c:tx>
          <c:spPr>
            <a:solidFill>
              <a:schemeClr val="accent3"/>
            </a:solidFill>
            <a:ln w="25400">
              <a:noFill/>
            </a:ln>
          </c:spPr>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Scenarios!$C$127:$J$127</c:f>
              <c:numCache>
                <c:formatCode>#,##0</c:formatCode>
                <c:ptCount val="8"/>
                <c:pt idx="0">
                  <c:v>1748.1428282942536</c:v>
                </c:pt>
                <c:pt idx="1">
                  <c:v>5322.5292161955995</c:v>
                </c:pt>
                <c:pt idx="2">
                  <c:v>10851.054194917535</c:v>
                </c:pt>
                <c:pt idx="3">
                  <c:v>18464.643128168042</c:v>
                </c:pt>
                <c:pt idx="4">
                  <c:v>31874.821800933227</c:v>
                </c:pt>
                <c:pt idx="5">
                  <c:v>47921.332321754693</c:v>
                </c:pt>
                <c:pt idx="6">
                  <c:v>66587.453529487102</c:v>
                </c:pt>
                <c:pt idx="7">
                  <c:v>87970.101531906854</c:v>
                </c:pt>
              </c:numCache>
            </c:numRef>
          </c:val>
          <c:extLst>
            <c:ext xmlns:c16="http://schemas.microsoft.com/office/drawing/2014/chart" uri="{C3380CC4-5D6E-409C-BE32-E72D297353CC}">
              <c16:uniqueId val="{00000002-A30D-4289-8697-417FEA423DE5}"/>
            </c:ext>
          </c:extLst>
        </c:ser>
        <c:dLbls>
          <c:showLegendKey val="0"/>
          <c:showVal val="0"/>
          <c:showCatName val="0"/>
          <c:showSerName val="0"/>
          <c:showPercent val="0"/>
          <c:showBubbleSize val="0"/>
        </c:dLbls>
        <c:axId val="136102272"/>
        <c:axId val="136103808"/>
      </c:areaChart>
      <c:catAx>
        <c:axId val="136102272"/>
        <c:scaling>
          <c:orientation val="minMax"/>
        </c:scaling>
        <c:delete val="0"/>
        <c:axPos val="b"/>
        <c:numFmt formatCode="General" sourceLinked="1"/>
        <c:majorTickMark val="out"/>
        <c:minorTickMark val="none"/>
        <c:tickLblPos val="nextTo"/>
        <c:crossAx val="136103808"/>
        <c:crosses val="autoZero"/>
        <c:auto val="1"/>
        <c:lblAlgn val="ctr"/>
        <c:lblOffset val="100"/>
        <c:noMultiLvlLbl val="0"/>
      </c:catAx>
      <c:valAx>
        <c:axId val="136103808"/>
        <c:scaling>
          <c:orientation val="minMax"/>
        </c:scaling>
        <c:delete val="0"/>
        <c:axPos val="l"/>
        <c:title>
          <c:tx>
            <c:rich>
              <a:bodyPr rot="-5400000" vert="horz"/>
              <a:lstStyle/>
              <a:p>
                <a:pPr>
                  <a:defRPr/>
                </a:pPr>
                <a:r>
                  <a:rPr lang="en-US"/>
                  <a:t>Cumulative</a:t>
                </a:r>
                <a:r>
                  <a:rPr lang="en-US" baseline="0"/>
                  <a:t> CA </a:t>
                </a:r>
                <a:r>
                  <a:rPr lang="en-US"/>
                  <a:t>PHEV/BEV/FCEV</a:t>
                </a:r>
              </a:p>
            </c:rich>
          </c:tx>
          <c:layout/>
          <c:overlay val="0"/>
        </c:title>
        <c:numFmt formatCode="#,##0" sourceLinked="1"/>
        <c:majorTickMark val="out"/>
        <c:minorTickMark val="none"/>
        <c:tickLblPos val="nextTo"/>
        <c:crossAx val="136102272"/>
        <c:crosses val="autoZero"/>
        <c:crossBetween val="midCat"/>
      </c:valAx>
      <c:spPr>
        <a:ln>
          <a:solidFill>
            <a:schemeClr val="tx1"/>
          </a:solidFill>
        </a:ln>
      </c:spPr>
    </c:plotArea>
    <c:legend>
      <c:legendPos val="r"/>
      <c:layout>
        <c:manualLayout>
          <c:xMode val="edge"/>
          <c:yMode val="edge"/>
          <c:x val="0.18839979814320509"/>
          <c:y val="0.21104109150970021"/>
          <c:w val="0.15184266232665952"/>
          <c:h val="0.14865826028821869"/>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3</a:t>
            </a:r>
          </a:p>
          <a:p>
            <a:pPr>
              <a:defRPr sz="1000"/>
            </a:pPr>
            <a:r>
              <a:rPr lang="en-US" sz="1000"/>
              <a:t>Cumulative CA Vehicle Numbers</a:t>
            </a:r>
          </a:p>
        </c:rich>
      </c:tx>
      <c:layout/>
      <c:overlay val="0"/>
    </c:title>
    <c:autoTitleDeleted val="0"/>
    <c:plotArea>
      <c:layout>
        <c:manualLayout>
          <c:layoutTarget val="inner"/>
          <c:xMode val="edge"/>
          <c:yMode val="edge"/>
          <c:x val="0.11668072403961727"/>
          <c:y val="0.16525716280183636"/>
          <c:w val="0.85433495696548556"/>
          <c:h val="0.73088029981096214"/>
        </c:manualLayout>
      </c:layout>
      <c:areaChart>
        <c:grouping val="stacked"/>
        <c:varyColors val="0"/>
        <c:ser>
          <c:idx val="2"/>
          <c:order val="0"/>
          <c:tx>
            <c:strRef>
              <c:f>Scenarios!$A$173</c:f>
              <c:strCache>
                <c:ptCount val="1"/>
                <c:pt idx="0">
                  <c:v>cumulative PHEVs </c:v>
                </c:pt>
              </c:strCache>
            </c:strRef>
          </c:tx>
          <c:spPr>
            <a:solidFill>
              <a:schemeClr val="accent2"/>
            </a:solidFill>
            <a:ln w="25400">
              <a:noFill/>
            </a:ln>
          </c:spPr>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Scenarios!$C$173:$J$173</c:f>
              <c:numCache>
                <c:formatCode>#,##0</c:formatCode>
                <c:ptCount val="8"/>
                <c:pt idx="0">
                  <c:v>44262.617770044482</c:v>
                </c:pt>
                <c:pt idx="1">
                  <c:v>97829.166405133336</c:v>
                </c:pt>
                <c:pt idx="2">
                  <c:v>162793.83600368627</c:v>
                </c:pt>
                <c:pt idx="3">
                  <c:v>236557.91094522947</c:v>
                </c:pt>
                <c:pt idx="4">
                  <c:v>312932.14715073281</c:v>
                </c:pt>
                <c:pt idx="5">
                  <c:v>395762.71636340808</c:v>
                </c:pt>
                <c:pt idx="6">
                  <c:v>484540.28354863927</c:v>
                </c:pt>
                <c:pt idx="7">
                  <c:v>579375.44698716537</c:v>
                </c:pt>
              </c:numCache>
            </c:numRef>
          </c:val>
          <c:extLst>
            <c:ext xmlns:c16="http://schemas.microsoft.com/office/drawing/2014/chart" uri="{C3380CC4-5D6E-409C-BE32-E72D297353CC}">
              <c16:uniqueId val="{00000000-64B6-4013-A1A4-7C7256145DC4}"/>
            </c:ext>
          </c:extLst>
        </c:ser>
        <c:ser>
          <c:idx val="1"/>
          <c:order val="1"/>
          <c:tx>
            <c:strRef>
              <c:f>Scenarios!$A$171</c:f>
              <c:strCache>
                <c:ptCount val="1"/>
                <c:pt idx="0">
                  <c:v>cumulative BEVs</c:v>
                </c:pt>
              </c:strCache>
            </c:strRef>
          </c:tx>
          <c:spPr>
            <a:solidFill>
              <a:schemeClr val="accent1"/>
            </a:solidFill>
          </c:spPr>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Scenarios!$C$171:$J$171</c:f>
              <c:numCache>
                <c:formatCode>#,##0</c:formatCode>
                <c:ptCount val="8"/>
                <c:pt idx="0">
                  <c:v>12435.553722447843</c:v>
                </c:pt>
                <c:pt idx="1">
                  <c:v>34485.964262865957</c:v>
                </c:pt>
                <c:pt idx="2">
                  <c:v>66053.744268274895</c:v>
                </c:pt>
                <c:pt idx="3">
                  <c:v>106015.94041961303</c:v>
                </c:pt>
                <c:pt idx="4">
                  <c:v>149973.91683924649</c:v>
                </c:pt>
                <c:pt idx="5">
                  <c:v>200005.48305005714</c:v>
                </c:pt>
                <c:pt idx="6">
                  <c:v>255485.14597071701</c:v>
                </c:pt>
                <c:pt idx="7">
                  <c:v>316146.99409166019</c:v>
                </c:pt>
              </c:numCache>
            </c:numRef>
          </c:val>
          <c:extLst>
            <c:ext xmlns:c16="http://schemas.microsoft.com/office/drawing/2014/chart" uri="{C3380CC4-5D6E-409C-BE32-E72D297353CC}">
              <c16:uniqueId val="{00000001-64B6-4013-A1A4-7C7256145DC4}"/>
            </c:ext>
          </c:extLst>
        </c:ser>
        <c:ser>
          <c:idx val="0"/>
          <c:order val="2"/>
          <c:tx>
            <c:strRef>
              <c:f>Scenarios!$A$172</c:f>
              <c:strCache>
                <c:ptCount val="1"/>
                <c:pt idx="0">
                  <c:v>cumulative FCEVs </c:v>
                </c:pt>
              </c:strCache>
            </c:strRef>
          </c:tx>
          <c:spPr>
            <a:solidFill>
              <a:schemeClr val="accent3"/>
            </a:solidFill>
            <a:ln w="25400">
              <a:noFill/>
            </a:ln>
          </c:spPr>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Scenarios!$C$172:$J$172</c:f>
              <c:numCache>
                <c:formatCode>#,##0</c:formatCode>
                <c:ptCount val="8"/>
                <c:pt idx="0">
                  <c:v>2368.3782706994598</c:v>
                </c:pt>
                <c:pt idx="1">
                  <c:v>7210.945431215554</c:v>
                </c:pt>
                <c:pt idx="2">
                  <c:v>14517.549840418804</c:v>
                </c:pt>
                <c:pt idx="3">
                  <c:v>24344.179176711521</c:v>
                </c:pt>
                <c:pt idx="4">
                  <c:v>40559.126513415606</c:v>
                </c:pt>
                <c:pt idx="5">
                  <c:v>59961.800361558759</c:v>
                </c:pt>
                <c:pt idx="6">
                  <c:v>82531.982291991269</c:v>
                </c:pt>
                <c:pt idx="7">
                  <c:v>108386.85863175771</c:v>
                </c:pt>
              </c:numCache>
            </c:numRef>
          </c:val>
          <c:extLst>
            <c:ext xmlns:c16="http://schemas.microsoft.com/office/drawing/2014/chart" uri="{C3380CC4-5D6E-409C-BE32-E72D297353CC}">
              <c16:uniqueId val="{00000002-64B6-4013-A1A4-7C7256145DC4}"/>
            </c:ext>
          </c:extLst>
        </c:ser>
        <c:dLbls>
          <c:showLegendKey val="0"/>
          <c:showVal val="0"/>
          <c:showCatName val="0"/>
          <c:showSerName val="0"/>
          <c:showPercent val="0"/>
          <c:showBubbleSize val="0"/>
        </c:dLbls>
        <c:axId val="136159232"/>
        <c:axId val="136160768"/>
      </c:areaChart>
      <c:catAx>
        <c:axId val="136159232"/>
        <c:scaling>
          <c:orientation val="minMax"/>
        </c:scaling>
        <c:delete val="0"/>
        <c:axPos val="b"/>
        <c:numFmt formatCode="General" sourceLinked="1"/>
        <c:majorTickMark val="out"/>
        <c:minorTickMark val="none"/>
        <c:tickLblPos val="nextTo"/>
        <c:crossAx val="136160768"/>
        <c:crosses val="autoZero"/>
        <c:auto val="1"/>
        <c:lblAlgn val="ctr"/>
        <c:lblOffset val="100"/>
        <c:noMultiLvlLbl val="0"/>
      </c:catAx>
      <c:valAx>
        <c:axId val="136160768"/>
        <c:scaling>
          <c:orientation val="minMax"/>
        </c:scaling>
        <c:delete val="0"/>
        <c:axPos val="l"/>
        <c:title>
          <c:tx>
            <c:rich>
              <a:bodyPr rot="-5400000" vert="horz"/>
              <a:lstStyle/>
              <a:p>
                <a:pPr>
                  <a:defRPr/>
                </a:pPr>
                <a:r>
                  <a:rPr lang="en-US"/>
                  <a:t>Cumulative</a:t>
                </a:r>
                <a:r>
                  <a:rPr lang="en-US" baseline="0"/>
                  <a:t> CA </a:t>
                </a:r>
                <a:r>
                  <a:rPr lang="en-US"/>
                  <a:t>PHEV/BEV/FCEV</a:t>
                </a:r>
              </a:p>
            </c:rich>
          </c:tx>
          <c:layout/>
          <c:overlay val="0"/>
        </c:title>
        <c:numFmt formatCode="#,##0" sourceLinked="1"/>
        <c:majorTickMark val="out"/>
        <c:minorTickMark val="none"/>
        <c:tickLblPos val="nextTo"/>
        <c:crossAx val="136159232"/>
        <c:crosses val="autoZero"/>
        <c:crossBetween val="midCat"/>
      </c:valAx>
      <c:spPr>
        <a:ln>
          <a:solidFill>
            <a:schemeClr val="tx1"/>
          </a:solidFill>
        </a:ln>
      </c:spPr>
    </c:plotArea>
    <c:legend>
      <c:legendPos val="r"/>
      <c:layout>
        <c:manualLayout>
          <c:xMode val="edge"/>
          <c:yMode val="edge"/>
          <c:x val="0.1565291838520185"/>
          <c:y val="0.19127234095738033"/>
          <c:w val="0.15458958255218097"/>
          <c:h val="0.17344394450693662"/>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 Scenario </a:t>
            </a:r>
          </a:p>
          <a:p>
            <a:pPr>
              <a:defRPr/>
            </a:pPr>
            <a:r>
              <a:rPr lang="en-US"/>
              <a:t>CA+S177 Vehicle Numbers</a:t>
            </a:r>
          </a:p>
        </c:rich>
      </c:tx>
      <c:layout/>
      <c:overlay val="0"/>
    </c:title>
    <c:autoTitleDeleted val="0"/>
    <c:plotArea>
      <c:layout>
        <c:manualLayout>
          <c:layoutTarget val="inner"/>
          <c:xMode val="edge"/>
          <c:yMode val="edge"/>
          <c:x val="0.11149072913910321"/>
          <c:y val="0.12870083105148303"/>
          <c:w val="0.78163666861396952"/>
          <c:h val="0.76743690430926237"/>
        </c:manualLayout>
      </c:layout>
      <c:barChart>
        <c:barDir val="col"/>
        <c:grouping val="stacked"/>
        <c:varyColors val="0"/>
        <c:ser>
          <c:idx val="2"/>
          <c:order val="0"/>
          <c:tx>
            <c:strRef>
              <c:f>Scenarios!$A$42</c:f>
              <c:strCache>
                <c:ptCount val="1"/>
                <c:pt idx="0">
                  <c:v> 2012 CA+S177 Scenario: PHEVs</c:v>
                </c:pt>
              </c:strCache>
            </c:strRef>
          </c:tx>
          <c:spPr>
            <a:solidFill>
              <a:schemeClr val="accent2"/>
            </a:solidFill>
          </c:spPr>
          <c:invertIfNegative val="0"/>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Scenarios!$B$42:$I$42</c:f>
              <c:numCache>
                <c:formatCode>#,##0</c:formatCode>
                <c:ptCount val="8"/>
                <c:pt idx="0">
                  <c:v>183777.87045560803</c:v>
                </c:pt>
                <c:pt idx="1">
                  <c:v>225789.50585127855</c:v>
                </c:pt>
                <c:pt idx="2">
                  <c:v>267286.41983286617</c:v>
                </c:pt>
                <c:pt idx="3">
                  <c:v>305687.99168910919</c:v>
                </c:pt>
                <c:pt idx="4">
                  <c:v>349172.44252427318</c:v>
                </c:pt>
                <c:pt idx="5">
                  <c:v>393473.89318963839</c:v>
                </c:pt>
                <c:pt idx="6">
                  <c:v>440717.56876467605</c:v>
                </c:pt>
                <c:pt idx="7">
                  <c:v>485048.54213537317</c:v>
                </c:pt>
              </c:numCache>
            </c:numRef>
          </c:val>
          <c:extLst>
            <c:ext xmlns:c16="http://schemas.microsoft.com/office/drawing/2014/chart" uri="{C3380CC4-5D6E-409C-BE32-E72D297353CC}">
              <c16:uniqueId val="{00000000-7474-47D6-B210-67EE728D7FC3}"/>
            </c:ext>
          </c:extLst>
        </c:ser>
        <c:ser>
          <c:idx val="1"/>
          <c:order val="1"/>
          <c:tx>
            <c:strRef>
              <c:f>Scenarios!$A$41</c:f>
              <c:strCache>
                <c:ptCount val="1"/>
                <c:pt idx="0">
                  <c:v> 2012 CA+S177 Scenario: BEVs</c:v>
                </c:pt>
              </c:strCache>
            </c:strRef>
          </c:tx>
          <c:spPr>
            <a:solidFill>
              <a:schemeClr val="accent1"/>
            </a:solidFill>
          </c:spPr>
          <c:invertIfNegative val="0"/>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Scenarios!$B$41:$I$41</c:f>
              <c:numCache>
                <c:formatCode>#,##0</c:formatCode>
                <c:ptCount val="8"/>
                <c:pt idx="0">
                  <c:v>41618.935294494411</c:v>
                </c:pt>
                <c:pt idx="1">
                  <c:v>81750.12019528856</c:v>
                </c:pt>
                <c:pt idx="2">
                  <c:v>113017.33503571284</c:v>
                </c:pt>
                <c:pt idx="3">
                  <c:v>138799.69457723555</c:v>
                </c:pt>
                <c:pt idx="4">
                  <c:v>157652.18496837944</c:v>
                </c:pt>
                <c:pt idx="5">
                  <c:v>178498.7939253051</c:v>
                </c:pt>
                <c:pt idx="6">
                  <c:v>192692.97880536949</c:v>
                </c:pt>
                <c:pt idx="7">
                  <c:v>196149.87527972349</c:v>
                </c:pt>
              </c:numCache>
            </c:numRef>
          </c:val>
          <c:extLst>
            <c:ext xmlns:c16="http://schemas.microsoft.com/office/drawing/2014/chart" uri="{C3380CC4-5D6E-409C-BE32-E72D297353CC}">
              <c16:uniqueId val="{00000001-7474-47D6-B210-67EE728D7FC3}"/>
            </c:ext>
          </c:extLst>
        </c:ser>
        <c:ser>
          <c:idx val="0"/>
          <c:order val="2"/>
          <c:tx>
            <c:strRef>
              <c:f>Scenarios!$A$40</c:f>
              <c:strCache>
                <c:ptCount val="1"/>
                <c:pt idx="0">
                  <c:v> 2012 CA+S177 Scenario: FCEVs</c:v>
                </c:pt>
              </c:strCache>
            </c:strRef>
          </c:tx>
          <c:spPr>
            <a:solidFill>
              <a:schemeClr val="accent3"/>
            </a:solidFill>
          </c:spPr>
          <c:invertIfNegative val="0"/>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Scenarios!$B$40:$I$40</c:f>
              <c:numCache>
                <c:formatCode>#,##0</c:formatCode>
                <c:ptCount val="8"/>
                <c:pt idx="0">
                  <c:v>2942.7530006208181</c:v>
                </c:pt>
                <c:pt idx="1">
                  <c:v>6214.9214183552713</c:v>
                </c:pt>
                <c:pt idx="2">
                  <c:v>10625.561413614027</c:v>
                </c:pt>
                <c:pt idx="3">
                  <c:v>15422.188286359504</c:v>
                </c:pt>
                <c:pt idx="4">
                  <c:v>21638.535191738352</c:v>
                </c:pt>
                <c:pt idx="5">
                  <c:v>27766.479055047454</c:v>
                </c:pt>
                <c:pt idx="6">
                  <c:v>35174.115178757922</c:v>
                </c:pt>
                <c:pt idx="7">
                  <c:v>43588.861173271893</c:v>
                </c:pt>
              </c:numCache>
            </c:numRef>
          </c:val>
          <c:extLst>
            <c:ext xmlns:c16="http://schemas.microsoft.com/office/drawing/2014/chart" uri="{C3380CC4-5D6E-409C-BE32-E72D297353CC}">
              <c16:uniqueId val="{00000002-7474-47D6-B210-67EE728D7FC3}"/>
            </c:ext>
          </c:extLst>
        </c:ser>
        <c:dLbls>
          <c:showLegendKey val="0"/>
          <c:showVal val="0"/>
          <c:showCatName val="0"/>
          <c:showSerName val="0"/>
          <c:showPercent val="0"/>
          <c:showBubbleSize val="0"/>
        </c:dLbls>
        <c:gapWidth val="150"/>
        <c:overlap val="100"/>
        <c:axId val="136254976"/>
        <c:axId val="136256512"/>
      </c:barChart>
      <c:lineChart>
        <c:grouping val="standard"/>
        <c:varyColors val="0"/>
        <c:ser>
          <c:idx val="3"/>
          <c:order val="3"/>
          <c:tx>
            <c:strRef>
              <c:f>Scenarios!$A$46</c:f>
              <c:strCache>
                <c:ptCount val="1"/>
                <c:pt idx="0">
                  <c:v>cumulative CA+S177 2012</c:v>
                </c:pt>
              </c:strCache>
            </c:strRef>
          </c:tx>
          <c:spPr>
            <a:ln>
              <a:solidFill>
                <a:schemeClr val="tx1"/>
              </a:solidFill>
            </a:ln>
          </c:spPr>
          <c:marker>
            <c:symbol val="none"/>
          </c:marke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Scenarios!$B$46:$I$46</c:f>
              <c:numCache>
                <c:formatCode>#,##0</c:formatCode>
                <c:ptCount val="8"/>
                <c:pt idx="0">
                  <c:v>228339.55875072326</c:v>
                </c:pt>
                <c:pt idx="1">
                  <c:v>542094.10621564568</c:v>
                </c:pt>
                <c:pt idx="2">
                  <c:v>933023.42249783874</c:v>
                </c:pt>
                <c:pt idx="3">
                  <c:v>1392933.2970505431</c:v>
                </c:pt>
                <c:pt idx="4">
                  <c:v>1921396.4597349339</c:v>
                </c:pt>
                <c:pt idx="5">
                  <c:v>2521135.6259049247</c:v>
                </c:pt>
                <c:pt idx="6">
                  <c:v>3189720.2886537281</c:v>
                </c:pt>
                <c:pt idx="7">
                  <c:v>3914507.5672420966</c:v>
                </c:pt>
              </c:numCache>
            </c:numRef>
          </c:val>
          <c:smooth val="0"/>
          <c:extLst>
            <c:ext xmlns:c16="http://schemas.microsoft.com/office/drawing/2014/chart" uri="{C3380CC4-5D6E-409C-BE32-E72D297353CC}">
              <c16:uniqueId val="{00000003-7474-47D6-B210-67EE728D7FC3}"/>
            </c:ext>
          </c:extLst>
        </c:ser>
        <c:dLbls>
          <c:showLegendKey val="0"/>
          <c:showVal val="0"/>
          <c:showCatName val="0"/>
          <c:showSerName val="0"/>
          <c:showPercent val="0"/>
          <c:showBubbleSize val="0"/>
        </c:dLbls>
        <c:marker val="1"/>
        <c:smooth val="0"/>
        <c:axId val="136276992"/>
        <c:axId val="136275072"/>
      </c:lineChart>
      <c:catAx>
        <c:axId val="136254976"/>
        <c:scaling>
          <c:orientation val="minMax"/>
        </c:scaling>
        <c:delete val="0"/>
        <c:axPos val="b"/>
        <c:numFmt formatCode="General" sourceLinked="1"/>
        <c:majorTickMark val="out"/>
        <c:minorTickMark val="none"/>
        <c:tickLblPos val="nextTo"/>
        <c:crossAx val="136256512"/>
        <c:crosses val="autoZero"/>
        <c:auto val="1"/>
        <c:lblAlgn val="ctr"/>
        <c:lblOffset val="100"/>
        <c:noMultiLvlLbl val="0"/>
      </c:catAx>
      <c:valAx>
        <c:axId val="136256512"/>
        <c:scaling>
          <c:orientation val="minMax"/>
        </c:scaling>
        <c:delete val="0"/>
        <c:axPos val="l"/>
        <c:title>
          <c:tx>
            <c:rich>
              <a:bodyPr rot="-5400000" vert="horz"/>
              <a:lstStyle/>
              <a:p>
                <a:pPr>
                  <a:defRPr/>
                </a:pPr>
                <a:r>
                  <a:rPr lang="en-US"/>
                  <a:t>Annual CA + S177 PHEV/BEV/FCEV</a:t>
                </a:r>
              </a:p>
            </c:rich>
          </c:tx>
          <c:layout>
            <c:manualLayout>
              <c:xMode val="edge"/>
              <c:yMode val="edge"/>
              <c:x val="1.8191093354038734E-2"/>
              <c:y val="0.26606012582394234"/>
            </c:manualLayout>
          </c:layout>
          <c:overlay val="0"/>
        </c:title>
        <c:numFmt formatCode="#,##0" sourceLinked="1"/>
        <c:majorTickMark val="out"/>
        <c:minorTickMark val="none"/>
        <c:tickLblPos val="nextTo"/>
        <c:crossAx val="136254976"/>
        <c:crosses val="autoZero"/>
        <c:crossBetween val="between"/>
      </c:valAx>
      <c:valAx>
        <c:axId val="136275072"/>
        <c:scaling>
          <c:orientation val="minMax"/>
        </c:scaling>
        <c:delete val="0"/>
        <c:axPos val="r"/>
        <c:title>
          <c:tx>
            <c:rich>
              <a:bodyPr rot="-5400000" vert="horz"/>
              <a:lstStyle/>
              <a:p>
                <a:pPr>
                  <a:defRPr/>
                </a:pPr>
                <a:r>
                  <a:rPr lang="en-US"/>
                  <a:t>Cumulative CA +  S177 PHEV/BEV/FCEV</a:t>
                </a:r>
              </a:p>
            </c:rich>
          </c:tx>
          <c:layout>
            <c:manualLayout>
              <c:xMode val="edge"/>
              <c:yMode val="edge"/>
              <c:x val="0.96607933317363737"/>
              <c:y val="0.2273176623202344"/>
            </c:manualLayout>
          </c:layout>
          <c:overlay val="0"/>
        </c:title>
        <c:numFmt formatCode="#,##0" sourceLinked="1"/>
        <c:majorTickMark val="out"/>
        <c:minorTickMark val="none"/>
        <c:tickLblPos val="nextTo"/>
        <c:crossAx val="136276992"/>
        <c:crosses val="max"/>
        <c:crossBetween val="between"/>
      </c:valAx>
      <c:catAx>
        <c:axId val="136276992"/>
        <c:scaling>
          <c:orientation val="minMax"/>
        </c:scaling>
        <c:delete val="1"/>
        <c:axPos val="b"/>
        <c:numFmt formatCode="General" sourceLinked="1"/>
        <c:majorTickMark val="out"/>
        <c:minorTickMark val="none"/>
        <c:tickLblPos val="nextTo"/>
        <c:crossAx val="136275072"/>
        <c:crosses val="autoZero"/>
        <c:auto val="1"/>
        <c:lblAlgn val="ctr"/>
        <c:lblOffset val="100"/>
        <c:noMultiLvlLbl val="0"/>
      </c:catAx>
      <c:spPr>
        <a:ln>
          <a:solidFill>
            <a:schemeClr val="tx1"/>
          </a:solidFill>
        </a:ln>
      </c:spPr>
    </c:plotArea>
    <c:legend>
      <c:legendPos val="r"/>
      <c:layout>
        <c:manualLayout>
          <c:xMode val="edge"/>
          <c:yMode val="edge"/>
          <c:x val="0.14407245969253843"/>
          <c:y val="0.19920884889388826"/>
          <c:w val="0.24272419072615922"/>
          <c:h val="0.22871556483087635"/>
        </c:manualLayout>
      </c:layout>
      <c:overlay val="0"/>
      <c:spPr>
        <a:ln>
          <a:solidFill>
            <a:schemeClr val="tx1"/>
          </a:solidFill>
        </a:ln>
      </c:spPr>
    </c:legend>
    <c:plotVisOnly val="1"/>
    <c:dispBlanksAs val="zero"/>
    <c:showDLblsOverMax val="0"/>
  </c:chart>
  <c:spPr>
    <a:ln>
      <a:solidFill>
        <a:sysClr val="windowText" lastClr="000000"/>
      </a:solidFill>
    </a:ln>
  </c:spPr>
  <c:txPr>
    <a:bodyPr/>
    <a:lstStyle/>
    <a:p>
      <a:pPr>
        <a:defRPr sz="800"/>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2012 Scenario</a:t>
            </a:r>
            <a:r>
              <a:rPr lang="en-US" sz="1000" baseline="0"/>
              <a:t> </a:t>
            </a:r>
          </a:p>
          <a:p>
            <a:pPr>
              <a:defRPr sz="1000"/>
            </a:pPr>
            <a:r>
              <a:rPr lang="en-US" sz="1000"/>
              <a:t>Cumulative CA+S177 Vehicle Numbers</a:t>
            </a:r>
          </a:p>
        </c:rich>
      </c:tx>
      <c:layout/>
      <c:overlay val="0"/>
    </c:title>
    <c:autoTitleDeleted val="0"/>
    <c:plotArea>
      <c:layout>
        <c:manualLayout>
          <c:layoutTarget val="inner"/>
          <c:xMode val="edge"/>
          <c:yMode val="edge"/>
          <c:x val="0.11889126068220726"/>
          <c:y val="0.13495336718033593"/>
          <c:w val="0.85095912761126713"/>
          <c:h val="0.76716819446796414"/>
        </c:manualLayout>
      </c:layout>
      <c:areaChart>
        <c:grouping val="stacked"/>
        <c:varyColors val="0"/>
        <c:ser>
          <c:idx val="2"/>
          <c:order val="0"/>
          <c:tx>
            <c:strRef>
              <c:f>Scenarios!$A$45</c:f>
              <c:strCache>
                <c:ptCount val="1"/>
                <c:pt idx="0">
                  <c:v>cumulative CA+S177 2012 Scenario: PHEVs</c:v>
                </c:pt>
              </c:strCache>
            </c:strRef>
          </c:tx>
          <c:spPr>
            <a:solidFill>
              <a:schemeClr val="accent2"/>
            </a:solidFill>
            <a:ln w="25400">
              <a:noFill/>
            </a:ln>
          </c:spP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Scenarios!$B$45:$I$45</c:f>
              <c:numCache>
                <c:formatCode>#,##0</c:formatCode>
                <c:ptCount val="8"/>
                <c:pt idx="0">
                  <c:v>183777.87045560803</c:v>
                </c:pt>
                <c:pt idx="1">
                  <c:v>409567.37630688655</c:v>
                </c:pt>
                <c:pt idx="2">
                  <c:v>676853.79613975273</c:v>
                </c:pt>
                <c:pt idx="3">
                  <c:v>982541.78782886197</c:v>
                </c:pt>
                <c:pt idx="4">
                  <c:v>1331714.2303531351</c:v>
                </c:pt>
                <c:pt idx="5">
                  <c:v>1725188.1235427735</c:v>
                </c:pt>
                <c:pt idx="6">
                  <c:v>2165905.6923074494</c:v>
                </c:pt>
                <c:pt idx="7">
                  <c:v>2650954.2344428226</c:v>
                </c:pt>
              </c:numCache>
            </c:numRef>
          </c:val>
          <c:extLst>
            <c:ext xmlns:c16="http://schemas.microsoft.com/office/drawing/2014/chart" uri="{C3380CC4-5D6E-409C-BE32-E72D297353CC}">
              <c16:uniqueId val="{00000000-E26F-4607-933D-EF56A497D6AB}"/>
            </c:ext>
          </c:extLst>
        </c:ser>
        <c:ser>
          <c:idx val="0"/>
          <c:order val="1"/>
          <c:tx>
            <c:strRef>
              <c:f>Scenarios!$A$44</c:f>
              <c:strCache>
                <c:ptCount val="1"/>
                <c:pt idx="0">
                  <c:v>cumulative CA+S177 2012 Scenario: BEVs</c:v>
                </c:pt>
              </c:strCache>
            </c:strRef>
          </c:tx>
          <c:spPr>
            <a:solidFill>
              <a:schemeClr val="accent1"/>
            </a:solidFill>
            <a:ln w="25400">
              <a:noFill/>
            </a:ln>
          </c:spP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Scenarios!$B$44:$I$44</c:f>
              <c:numCache>
                <c:formatCode>#,##0</c:formatCode>
                <c:ptCount val="8"/>
                <c:pt idx="0">
                  <c:v>41618.935294494411</c:v>
                </c:pt>
                <c:pt idx="1">
                  <c:v>123369.05548978297</c:v>
                </c:pt>
                <c:pt idx="2">
                  <c:v>236386.39052549581</c:v>
                </c:pt>
                <c:pt idx="3">
                  <c:v>375186.08510273136</c:v>
                </c:pt>
                <c:pt idx="4">
                  <c:v>532838.2700711108</c:v>
                </c:pt>
                <c:pt idx="5">
                  <c:v>711337.06399641593</c:v>
                </c:pt>
                <c:pt idx="6">
                  <c:v>904030.0428017854</c:v>
                </c:pt>
                <c:pt idx="7">
                  <c:v>1100179.9180815089</c:v>
                </c:pt>
              </c:numCache>
            </c:numRef>
          </c:val>
          <c:extLst>
            <c:ext xmlns:c16="http://schemas.microsoft.com/office/drawing/2014/chart" uri="{C3380CC4-5D6E-409C-BE32-E72D297353CC}">
              <c16:uniqueId val="{00000001-E26F-4607-933D-EF56A497D6AB}"/>
            </c:ext>
          </c:extLst>
        </c:ser>
        <c:ser>
          <c:idx val="1"/>
          <c:order val="2"/>
          <c:tx>
            <c:strRef>
              <c:f>Scenarios!$A$43</c:f>
              <c:strCache>
                <c:ptCount val="1"/>
                <c:pt idx="0">
                  <c:v>cumulative CA+S177 2012 Scenario: FCEVs</c:v>
                </c:pt>
              </c:strCache>
            </c:strRef>
          </c:tx>
          <c:spPr>
            <a:solidFill>
              <a:schemeClr val="accent3"/>
            </a:solidFill>
          </c:spP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Scenarios!$B$43:$I$43</c:f>
              <c:numCache>
                <c:formatCode>#,##0</c:formatCode>
                <c:ptCount val="8"/>
                <c:pt idx="0">
                  <c:v>2942.7530006208181</c:v>
                </c:pt>
                <c:pt idx="1">
                  <c:v>9157.6744189760902</c:v>
                </c:pt>
                <c:pt idx="2">
                  <c:v>19783.235832590115</c:v>
                </c:pt>
                <c:pt idx="3">
                  <c:v>35205.424118949617</c:v>
                </c:pt>
                <c:pt idx="4">
                  <c:v>56843.959310687969</c:v>
                </c:pt>
                <c:pt idx="5">
                  <c:v>84610.438365735419</c:v>
                </c:pt>
                <c:pt idx="6">
                  <c:v>119784.55354449333</c:v>
                </c:pt>
                <c:pt idx="7">
                  <c:v>163373.41471776523</c:v>
                </c:pt>
              </c:numCache>
            </c:numRef>
          </c:val>
          <c:extLst>
            <c:ext xmlns:c16="http://schemas.microsoft.com/office/drawing/2014/chart" uri="{C3380CC4-5D6E-409C-BE32-E72D297353CC}">
              <c16:uniqueId val="{00000002-E26F-4607-933D-EF56A497D6AB}"/>
            </c:ext>
          </c:extLst>
        </c:ser>
        <c:dLbls>
          <c:showLegendKey val="0"/>
          <c:showVal val="0"/>
          <c:showCatName val="0"/>
          <c:showSerName val="0"/>
          <c:showPercent val="0"/>
          <c:showBubbleSize val="0"/>
        </c:dLbls>
        <c:axId val="136303360"/>
        <c:axId val="136304896"/>
      </c:areaChart>
      <c:catAx>
        <c:axId val="136303360"/>
        <c:scaling>
          <c:orientation val="minMax"/>
        </c:scaling>
        <c:delete val="0"/>
        <c:axPos val="b"/>
        <c:numFmt formatCode="General" sourceLinked="1"/>
        <c:majorTickMark val="out"/>
        <c:minorTickMark val="none"/>
        <c:tickLblPos val="nextTo"/>
        <c:crossAx val="136304896"/>
        <c:crosses val="autoZero"/>
        <c:auto val="1"/>
        <c:lblAlgn val="ctr"/>
        <c:lblOffset val="100"/>
        <c:noMultiLvlLbl val="0"/>
      </c:catAx>
      <c:valAx>
        <c:axId val="136304896"/>
        <c:scaling>
          <c:orientation val="minMax"/>
        </c:scaling>
        <c:delete val="0"/>
        <c:axPos val="l"/>
        <c:title>
          <c:tx>
            <c:rich>
              <a:bodyPr rot="-5400000" vert="horz"/>
              <a:lstStyle/>
              <a:p>
                <a:pPr>
                  <a:defRPr/>
                </a:pPr>
                <a:r>
                  <a:rPr lang="en-US"/>
                  <a:t>Cumulative CA +  S177 PHEV/FCEV/BEV</a:t>
                </a:r>
              </a:p>
            </c:rich>
          </c:tx>
          <c:layout>
            <c:manualLayout>
              <c:xMode val="edge"/>
              <c:yMode val="edge"/>
              <c:x val="1.0391636947719229E-2"/>
              <c:y val="0.23218575166865296"/>
            </c:manualLayout>
          </c:layout>
          <c:overlay val="0"/>
        </c:title>
        <c:numFmt formatCode="#,##0" sourceLinked="1"/>
        <c:majorTickMark val="out"/>
        <c:minorTickMark val="none"/>
        <c:tickLblPos val="nextTo"/>
        <c:crossAx val="136303360"/>
        <c:crosses val="autoZero"/>
        <c:crossBetween val="midCat"/>
      </c:valAx>
      <c:spPr>
        <a:ln>
          <a:solidFill>
            <a:schemeClr val="tx1"/>
          </a:solidFill>
        </a:ln>
      </c:spPr>
    </c:plotArea>
    <c:legend>
      <c:legendPos val="r"/>
      <c:layout>
        <c:manualLayout>
          <c:xMode val="edge"/>
          <c:yMode val="edge"/>
          <c:x val="0.22524543273570982"/>
          <c:y val="0.22423632188570725"/>
          <c:w val="0.30445709911261093"/>
          <c:h val="0.21923759530058742"/>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spPr>
    <a:ln>
      <a:solidFill>
        <a:sysClr val="windowText" lastClr="000000"/>
      </a:solidFill>
    </a:ln>
  </c:spPr>
  <c:txPr>
    <a:bodyPr/>
    <a:lstStyle/>
    <a:p>
      <a:pPr>
        <a:defRPr sz="8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a:t>
            </a:r>
            <a:r>
              <a:rPr lang="en-US" sz="1000" baseline="0"/>
              <a:t> 1</a:t>
            </a:r>
          </a:p>
          <a:p>
            <a:pPr>
              <a:defRPr sz="1000"/>
            </a:pPr>
            <a:r>
              <a:rPr lang="en-US" sz="1000"/>
              <a:t>Cumulative CA+S177 Vehicle Numbers</a:t>
            </a:r>
          </a:p>
        </c:rich>
      </c:tx>
      <c:layout/>
      <c:overlay val="0"/>
    </c:title>
    <c:autoTitleDeleted val="0"/>
    <c:plotArea>
      <c:layout>
        <c:manualLayout>
          <c:layoutTarget val="inner"/>
          <c:xMode val="edge"/>
          <c:yMode val="edge"/>
          <c:x val="0.11668072403961727"/>
          <c:y val="0.14907949006374202"/>
          <c:w val="0.85433495696548556"/>
          <c:h val="0.74705818022747161"/>
        </c:manualLayout>
      </c:layout>
      <c:areaChart>
        <c:grouping val="stacked"/>
        <c:varyColors val="0"/>
        <c:ser>
          <c:idx val="0"/>
          <c:order val="0"/>
          <c:tx>
            <c:strRef>
              <c:f>Scenarios!$A$90</c:f>
              <c:strCache>
                <c:ptCount val="1"/>
                <c:pt idx="0">
                  <c:v>cumulative PHEVs</c:v>
                </c:pt>
              </c:strCache>
            </c:strRef>
          </c:tx>
          <c:spPr>
            <a:solidFill>
              <a:schemeClr val="accent2"/>
            </a:solidFill>
            <a:ln w="25400">
              <a:noFill/>
            </a:ln>
          </c:spPr>
          <c:cat>
            <c:strRef>
              <c:f>Scenarios!$C$86:$J$86</c:f>
              <c:strCache>
                <c:ptCount val="8"/>
                <c:pt idx="0">
                  <c:v>2018</c:v>
                </c:pt>
                <c:pt idx="1">
                  <c:v>2019</c:v>
                </c:pt>
                <c:pt idx="2">
                  <c:v>2020</c:v>
                </c:pt>
                <c:pt idx="3">
                  <c:v>2021</c:v>
                </c:pt>
                <c:pt idx="4">
                  <c:v>2022</c:v>
                </c:pt>
                <c:pt idx="5">
                  <c:v>2023</c:v>
                </c:pt>
                <c:pt idx="6">
                  <c:v>2024</c:v>
                </c:pt>
                <c:pt idx="7">
                  <c:v>2025</c:v>
                </c:pt>
              </c:strCache>
            </c:strRef>
          </c:cat>
          <c:val>
            <c:numRef>
              <c:f>Scenarios!$C$90:$J$90</c:f>
              <c:numCache>
                <c:formatCode>#,##0</c:formatCode>
                <c:ptCount val="8"/>
                <c:pt idx="0">
                  <c:v>89924.884905703861</c:v>
                </c:pt>
                <c:pt idx="1">
                  <c:v>204501.66372312288</c:v>
                </c:pt>
                <c:pt idx="2">
                  <c:v>352347.82355704444</c:v>
                </c:pt>
                <c:pt idx="3">
                  <c:v>521041.04587967478</c:v>
                </c:pt>
                <c:pt idx="4">
                  <c:v>696978.51207580348</c:v>
                </c:pt>
                <c:pt idx="5">
                  <c:v>888168.64696568658</c:v>
                </c:pt>
                <c:pt idx="6">
                  <c:v>1093418.5417611068</c:v>
                </c:pt>
                <c:pt idx="7">
                  <c:v>1312948.8625838549</c:v>
                </c:pt>
              </c:numCache>
            </c:numRef>
          </c:val>
          <c:extLst>
            <c:ext xmlns:c16="http://schemas.microsoft.com/office/drawing/2014/chart" uri="{C3380CC4-5D6E-409C-BE32-E72D297353CC}">
              <c16:uniqueId val="{00000000-BB60-4414-BD4A-269FE31B056B}"/>
            </c:ext>
          </c:extLst>
        </c:ser>
        <c:ser>
          <c:idx val="1"/>
          <c:order val="1"/>
          <c:tx>
            <c:strRef>
              <c:f>Scenarios!$A$89</c:f>
              <c:strCache>
                <c:ptCount val="1"/>
                <c:pt idx="0">
                  <c:v>cumulative BEVs</c:v>
                </c:pt>
              </c:strCache>
            </c:strRef>
          </c:tx>
          <c:spPr>
            <a:solidFill>
              <a:schemeClr val="accent1"/>
            </a:solidFill>
          </c:spPr>
          <c:cat>
            <c:strRef>
              <c:f>Scenarios!$C$86:$J$86</c:f>
              <c:strCache>
                <c:ptCount val="8"/>
                <c:pt idx="0">
                  <c:v>2018</c:v>
                </c:pt>
                <c:pt idx="1">
                  <c:v>2019</c:v>
                </c:pt>
                <c:pt idx="2">
                  <c:v>2020</c:v>
                </c:pt>
                <c:pt idx="3">
                  <c:v>2021</c:v>
                </c:pt>
                <c:pt idx="4">
                  <c:v>2022</c:v>
                </c:pt>
                <c:pt idx="5">
                  <c:v>2023</c:v>
                </c:pt>
                <c:pt idx="6">
                  <c:v>2024</c:v>
                </c:pt>
                <c:pt idx="7">
                  <c:v>2025</c:v>
                </c:pt>
              </c:strCache>
            </c:strRef>
          </c:cat>
          <c:val>
            <c:numRef>
              <c:f>Scenarios!$C$89:$J$89</c:f>
              <c:numCache>
                <c:formatCode>#,##0</c:formatCode>
                <c:ptCount val="8"/>
                <c:pt idx="0">
                  <c:v>14232.833512989306</c:v>
                </c:pt>
                <c:pt idx="1">
                  <c:v>43029.24231146634</c:v>
                </c:pt>
                <c:pt idx="2">
                  <c:v>90274.453378523598</c:v>
                </c:pt>
                <c:pt idx="3">
                  <c:v>155922.94493102742</c:v>
                </c:pt>
                <c:pt idx="4">
                  <c:v>227399.21520200407</c:v>
                </c:pt>
                <c:pt idx="5">
                  <c:v>308980.69338635483</c:v>
                </c:pt>
                <c:pt idx="6">
                  <c:v>399630.41687800304</c:v>
                </c:pt>
                <c:pt idx="7">
                  <c:v>498900.54072999436</c:v>
                </c:pt>
              </c:numCache>
            </c:numRef>
          </c:val>
          <c:extLst>
            <c:ext xmlns:c16="http://schemas.microsoft.com/office/drawing/2014/chart" uri="{C3380CC4-5D6E-409C-BE32-E72D297353CC}">
              <c16:uniqueId val="{00000001-BB60-4414-BD4A-269FE31B056B}"/>
            </c:ext>
          </c:extLst>
        </c:ser>
        <c:ser>
          <c:idx val="2"/>
          <c:order val="2"/>
          <c:tx>
            <c:strRef>
              <c:f>Scenarios!$A$82</c:f>
              <c:strCache>
                <c:ptCount val="1"/>
                <c:pt idx="0">
                  <c:v>cumulative FCEVs</c:v>
                </c:pt>
              </c:strCache>
            </c:strRef>
          </c:tx>
          <c:spPr>
            <a:ln w="25400">
              <a:noFill/>
            </a:ln>
          </c:spPr>
          <c:val>
            <c:numRef>
              <c:f>Scenarios!$C$82:$J$82</c:f>
              <c:numCache>
                <c:formatCode>#,##0</c:formatCode>
                <c:ptCount val="8"/>
                <c:pt idx="0">
                  <c:v>2031.4254178942599</c:v>
                </c:pt>
                <c:pt idx="1">
                  <c:v>6185.0330317773014</c:v>
                </c:pt>
                <c:pt idx="2">
                  <c:v>12472.653415230699</c:v>
                </c:pt>
                <c:pt idx="3">
                  <c:v>20955.900787560291</c:v>
                </c:pt>
                <c:pt idx="4">
                  <c:v>35082.613242483436</c:v>
                </c:pt>
                <c:pt idx="5">
                  <c:v>51986.52224803</c:v>
                </c:pt>
                <c:pt idx="6">
                  <c:v>71650.013196581625</c:v>
                </c:pt>
                <c:pt idx="7">
                  <c:v>94175.180625445893</c:v>
                </c:pt>
              </c:numCache>
            </c:numRef>
          </c:val>
          <c:extLst>
            <c:ext xmlns:c16="http://schemas.microsoft.com/office/drawing/2014/chart" uri="{C3380CC4-5D6E-409C-BE32-E72D297353CC}">
              <c16:uniqueId val="{00000002-BB60-4414-BD4A-269FE31B056B}"/>
            </c:ext>
          </c:extLst>
        </c:ser>
        <c:dLbls>
          <c:showLegendKey val="0"/>
          <c:showVal val="0"/>
          <c:showCatName val="0"/>
          <c:showSerName val="0"/>
          <c:showPercent val="0"/>
          <c:showBubbleSize val="0"/>
        </c:dLbls>
        <c:axId val="136425856"/>
        <c:axId val="136427392"/>
      </c:areaChart>
      <c:catAx>
        <c:axId val="136425856"/>
        <c:scaling>
          <c:orientation val="minMax"/>
        </c:scaling>
        <c:delete val="0"/>
        <c:axPos val="b"/>
        <c:numFmt formatCode="General" sourceLinked="1"/>
        <c:majorTickMark val="out"/>
        <c:minorTickMark val="none"/>
        <c:tickLblPos val="nextTo"/>
        <c:crossAx val="136427392"/>
        <c:crosses val="autoZero"/>
        <c:auto val="1"/>
        <c:lblAlgn val="ctr"/>
        <c:lblOffset val="100"/>
        <c:noMultiLvlLbl val="0"/>
      </c:catAx>
      <c:valAx>
        <c:axId val="136427392"/>
        <c:scaling>
          <c:orientation val="minMax"/>
        </c:scaling>
        <c:delete val="0"/>
        <c:axPos val="l"/>
        <c:title>
          <c:tx>
            <c:rich>
              <a:bodyPr rot="-5400000" vert="horz"/>
              <a:lstStyle/>
              <a:p>
                <a:pPr>
                  <a:defRPr/>
                </a:pPr>
                <a:r>
                  <a:rPr lang="en-US"/>
                  <a:t>Cumulative CA +  S177 PHEV/BEV/FCEV</a:t>
                </a:r>
              </a:p>
            </c:rich>
          </c:tx>
          <c:layout/>
          <c:overlay val="0"/>
        </c:title>
        <c:numFmt formatCode="#,##0" sourceLinked="1"/>
        <c:majorTickMark val="out"/>
        <c:minorTickMark val="none"/>
        <c:tickLblPos val="nextTo"/>
        <c:crossAx val="136425856"/>
        <c:crosses val="autoZero"/>
        <c:crossBetween val="midCat"/>
      </c:valAx>
      <c:spPr>
        <a:ln>
          <a:solidFill>
            <a:schemeClr val="tx1"/>
          </a:solidFill>
        </a:ln>
      </c:spPr>
    </c:plotArea>
    <c:legend>
      <c:legendPos val="r"/>
      <c:layout>
        <c:manualLayout>
          <c:xMode val="edge"/>
          <c:yMode val="edge"/>
          <c:x val="0.14859267591551056"/>
          <c:y val="0.2071453568303962"/>
          <c:w val="0.10957375470006092"/>
          <c:h val="0.17037842284639793"/>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2</a:t>
            </a:r>
          </a:p>
          <a:p>
            <a:pPr>
              <a:defRPr sz="1000"/>
            </a:pPr>
            <a:r>
              <a:rPr lang="en-US" sz="1000"/>
              <a:t>Cumulative CA+S177 Vehicle Numbers</a:t>
            </a:r>
          </a:p>
        </c:rich>
      </c:tx>
      <c:layout/>
      <c:overlay val="0"/>
    </c:title>
    <c:autoTitleDeleted val="0"/>
    <c:plotArea>
      <c:layout>
        <c:manualLayout>
          <c:layoutTarget val="inner"/>
          <c:xMode val="edge"/>
          <c:yMode val="edge"/>
          <c:x val="0.11668072403961727"/>
          <c:y val="0.13734762964909361"/>
          <c:w val="0.84589538357993943"/>
          <c:h val="0.75878974064913229"/>
        </c:manualLayout>
      </c:layout>
      <c:areaChart>
        <c:grouping val="stacked"/>
        <c:varyColors val="0"/>
        <c:ser>
          <c:idx val="0"/>
          <c:order val="0"/>
          <c:tx>
            <c:strRef>
              <c:f>Scenarios!$A$135</c:f>
              <c:strCache>
                <c:ptCount val="1"/>
                <c:pt idx="0">
                  <c:v>cumulative PHEVs</c:v>
                </c:pt>
              </c:strCache>
            </c:strRef>
          </c:tx>
          <c:spPr>
            <a:solidFill>
              <a:schemeClr val="accent2"/>
            </a:solidFill>
            <a:ln w="25400">
              <a:noFill/>
            </a:ln>
          </c:spPr>
          <c:cat>
            <c:strRef>
              <c:f>Scenarios!$C$131:$J$131</c:f>
              <c:strCache>
                <c:ptCount val="8"/>
                <c:pt idx="0">
                  <c:v>2018</c:v>
                </c:pt>
                <c:pt idx="1">
                  <c:v>2019</c:v>
                </c:pt>
                <c:pt idx="2">
                  <c:v>2020</c:v>
                </c:pt>
                <c:pt idx="3">
                  <c:v>2021</c:v>
                </c:pt>
                <c:pt idx="4">
                  <c:v>2022</c:v>
                </c:pt>
                <c:pt idx="5">
                  <c:v>2023</c:v>
                </c:pt>
                <c:pt idx="6">
                  <c:v>2024</c:v>
                </c:pt>
                <c:pt idx="7">
                  <c:v>2025</c:v>
                </c:pt>
              </c:strCache>
            </c:strRef>
          </c:cat>
          <c:val>
            <c:numRef>
              <c:f>Scenarios!$C$135:$J$135</c:f>
              <c:numCache>
                <c:formatCode>#,##0</c:formatCode>
                <c:ptCount val="8"/>
                <c:pt idx="0">
                  <c:v>76163.823627958365</c:v>
                </c:pt>
                <c:pt idx="1">
                  <c:v>173274.67274235911</c:v>
                </c:pt>
                <c:pt idx="2">
                  <c:v>315110.25021504052</c:v>
                </c:pt>
                <c:pt idx="3">
                  <c:v>480570.17194763414</c:v>
                </c:pt>
                <c:pt idx="4">
                  <c:v>665675.31906635175</c:v>
                </c:pt>
                <c:pt idx="5">
                  <c:v>867672.96566421993</c:v>
                </c:pt>
                <c:pt idx="6">
                  <c:v>1085262.9633877079</c:v>
                </c:pt>
                <c:pt idx="7">
                  <c:v>1318609.5179817686</c:v>
                </c:pt>
              </c:numCache>
            </c:numRef>
          </c:val>
          <c:extLst>
            <c:ext xmlns:c16="http://schemas.microsoft.com/office/drawing/2014/chart" uri="{C3380CC4-5D6E-409C-BE32-E72D297353CC}">
              <c16:uniqueId val="{00000000-FCF9-4EB9-858C-130AA0EE83E5}"/>
            </c:ext>
          </c:extLst>
        </c:ser>
        <c:ser>
          <c:idx val="1"/>
          <c:order val="1"/>
          <c:tx>
            <c:strRef>
              <c:f>Scenarios!$A$134</c:f>
              <c:strCache>
                <c:ptCount val="1"/>
                <c:pt idx="0">
                  <c:v>cumulative BEVs</c:v>
                </c:pt>
              </c:strCache>
            </c:strRef>
          </c:tx>
          <c:spPr>
            <a:solidFill>
              <a:schemeClr val="accent1"/>
            </a:solidFill>
          </c:spPr>
          <c:cat>
            <c:strRef>
              <c:f>Scenarios!$C$131:$J$131</c:f>
              <c:strCache>
                <c:ptCount val="8"/>
                <c:pt idx="0">
                  <c:v>2018</c:v>
                </c:pt>
                <c:pt idx="1">
                  <c:v>2019</c:v>
                </c:pt>
                <c:pt idx="2">
                  <c:v>2020</c:v>
                </c:pt>
                <c:pt idx="3">
                  <c:v>2021</c:v>
                </c:pt>
                <c:pt idx="4">
                  <c:v>2022</c:v>
                </c:pt>
                <c:pt idx="5">
                  <c:v>2023</c:v>
                </c:pt>
                <c:pt idx="6">
                  <c:v>2024</c:v>
                </c:pt>
                <c:pt idx="7">
                  <c:v>2025</c:v>
                </c:pt>
              </c:strCache>
            </c:strRef>
          </c:cat>
          <c:val>
            <c:numRef>
              <c:f>Scenarios!$C$134:$J$134</c:f>
              <c:numCache>
                <c:formatCode>#,##0</c:formatCode>
                <c:ptCount val="8"/>
                <c:pt idx="0">
                  <c:v>8078.8502407341621</c:v>
                </c:pt>
                <c:pt idx="1">
                  <c:v>26157.781732419131</c:v>
                </c:pt>
                <c:pt idx="2">
                  <c:v>56608.110532355015</c:v>
                </c:pt>
                <c:pt idx="3">
                  <c:v>101172.20329634231</c:v>
                </c:pt>
                <c:pt idx="4">
                  <c:v>150877.42141700955</c:v>
                </c:pt>
                <c:pt idx="5">
                  <c:v>207948.19451490144</c:v>
                </c:pt>
                <c:pt idx="6">
                  <c:v>271634.06772267137</c:v>
                </c:pt>
                <c:pt idx="7">
                  <c:v>341600.79945928935</c:v>
                </c:pt>
              </c:numCache>
            </c:numRef>
          </c:val>
          <c:extLst>
            <c:ext xmlns:c16="http://schemas.microsoft.com/office/drawing/2014/chart" uri="{C3380CC4-5D6E-409C-BE32-E72D297353CC}">
              <c16:uniqueId val="{00000001-FCF9-4EB9-858C-130AA0EE83E5}"/>
            </c:ext>
          </c:extLst>
        </c:ser>
        <c:ser>
          <c:idx val="2"/>
          <c:order val="2"/>
          <c:tx>
            <c:strRef>
              <c:f>Scenarios!$A$127</c:f>
              <c:strCache>
                <c:ptCount val="1"/>
                <c:pt idx="0">
                  <c:v>cumulative FCEVs</c:v>
                </c:pt>
              </c:strCache>
            </c:strRef>
          </c:tx>
          <c:spPr>
            <a:ln w="25400">
              <a:noFill/>
            </a:ln>
          </c:spPr>
          <c:val>
            <c:numRef>
              <c:f>Scenarios!$C$127:$I$127</c:f>
              <c:numCache>
                <c:formatCode>#,##0</c:formatCode>
                <c:ptCount val="7"/>
                <c:pt idx="0">
                  <c:v>1748.1428282942536</c:v>
                </c:pt>
                <c:pt idx="1">
                  <c:v>5322.5292161955995</c:v>
                </c:pt>
                <c:pt idx="2">
                  <c:v>10851.054194917535</c:v>
                </c:pt>
                <c:pt idx="3">
                  <c:v>18464.643128168042</c:v>
                </c:pt>
                <c:pt idx="4">
                  <c:v>31874.821800933227</c:v>
                </c:pt>
                <c:pt idx="5">
                  <c:v>47921.332321754693</c:v>
                </c:pt>
                <c:pt idx="6">
                  <c:v>66587.453529487102</c:v>
                </c:pt>
              </c:numCache>
            </c:numRef>
          </c:val>
          <c:extLst>
            <c:ext xmlns:c16="http://schemas.microsoft.com/office/drawing/2014/chart" uri="{C3380CC4-5D6E-409C-BE32-E72D297353CC}">
              <c16:uniqueId val="{00000002-FCF9-4EB9-858C-130AA0EE83E5}"/>
            </c:ext>
          </c:extLst>
        </c:ser>
        <c:dLbls>
          <c:showLegendKey val="0"/>
          <c:showVal val="0"/>
          <c:showCatName val="0"/>
          <c:showSerName val="0"/>
          <c:showPercent val="0"/>
          <c:showBubbleSize val="0"/>
        </c:dLbls>
        <c:axId val="136458624"/>
        <c:axId val="136460160"/>
      </c:areaChart>
      <c:catAx>
        <c:axId val="136458624"/>
        <c:scaling>
          <c:orientation val="minMax"/>
        </c:scaling>
        <c:delete val="0"/>
        <c:axPos val="b"/>
        <c:numFmt formatCode="General" sourceLinked="1"/>
        <c:majorTickMark val="out"/>
        <c:minorTickMark val="none"/>
        <c:tickLblPos val="nextTo"/>
        <c:crossAx val="136460160"/>
        <c:crosses val="autoZero"/>
        <c:auto val="1"/>
        <c:lblAlgn val="ctr"/>
        <c:lblOffset val="100"/>
        <c:noMultiLvlLbl val="0"/>
      </c:catAx>
      <c:valAx>
        <c:axId val="136460160"/>
        <c:scaling>
          <c:orientation val="minMax"/>
        </c:scaling>
        <c:delete val="0"/>
        <c:axPos val="l"/>
        <c:title>
          <c:tx>
            <c:rich>
              <a:bodyPr rot="-5400000" vert="horz"/>
              <a:lstStyle/>
              <a:p>
                <a:pPr>
                  <a:defRPr/>
                </a:pPr>
                <a:r>
                  <a:rPr lang="en-US"/>
                  <a:t>Cumulative CA +  S177 PHEV/BEV/FCEV</a:t>
                </a:r>
              </a:p>
            </c:rich>
          </c:tx>
          <c:layout/>
          <c:overlay val="0"/>
        </c:title>
        <c:numFmt formatCode="#,##0" sourceLinked="1"/>
        <c:majorTickMark val="out"/>
        <c:minorTickMark val="none"/>
        <c:tickLblPos val="nextTo"/>
        <c:crossAx val="136458624"/>
        <c:crosses val="autoZero"/>
        <c:crossBetween val="midCat"/>
      </c:valAx>
      <c:spPr>
        <a:ln>
          <a:solidFill>
            <a:schemeClr val="tx1"/>
          </a:solidFill>
        </a:ln>
      </c:spPr>
    </c:plotArea>
    <c:legend>
      <c:legendPos val="r"/>
      <c:layout>
        <c:manualLayout>
          <c:xMode val="edge"/>
          <c:yMode val="edge"/>
          <c:x val="0.18839979814320509"/>
          <c:y val="0.21104109150970021"/>
          <c:w val="0.10957375470006092"/>
          <c:h val="0.1705123681473778"/>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3</a:t>
            </a:r>
          </a:p>
          <a:p>
            <a:pPr>
              <a:defRPr sz="1000"/>
            </a:pPr>
            <a:r>
              <a:rPr lang="en-US" sz="1000"/>
              <a:t>Cumulative CA+S177 Vehicle Numbers</a:t>
            </a:r>
          </a:p>
        </c:rich>
      </c:tx>
      <c:layout/>
      <c:overlay val="0"/>
    </c:title>
    <c:autoTitleDeleted val="0"/>
    <c:plotArea>
      <c:layout>
        <c:manualLayout>
          <c:layoutTarget val="inner"/>
          <c:xMode val="edge"/>
          <c:yMode val="edge"/>
          <c:x val="0.11668072403961727"/>
          <c:y val="0.1292381123679337"/>
          <c:w val="0.8577107863197041"/>
          <c:h val="0.7668994897211453"/>
        </c:manualLayout>
      </c:layout>
      <c:areaChart>
        <c:grouping val="stacked"/>
        <c:varyColors val="0"/>
        <c:ser>
          <c:idx val="0"/>
          <c:order val="0"/>
          <c:tx>
            <c:strRef>
              <c:f>Scenarios!$A$180</c:f>
              <c:strCache>
                <c:ptCount val="1"/>
                <c:pt idx="0">
                  <c:v>cumulative PHEVs</c:v>
                </c:pt>
              </c:strCache>
            </c:strRef>
          </c:tx>
          <c:spPr>
            <a:solidFill>
              <a:schemeClr val="accent2"/>
            </a:solidFill>
            <a:ln w="25400">
              <a:noFill/>
            </a:ln>
          </c:spPr>
          <c:cat>
            <c:strRef>
              <c:f>Scenarios!$C$176:$J$176</c:f>
              <c:strCache>
                <c:ptCount val="8"/>
                <c:pt idx="0">
                  <c:v>2018</c:v>
                </c:pt>
                <c:pt idx="1">
                  <c:v>2019</c:v>
                </c:pt>
                <c:pt idx="2">
                  <c:v>2020</c:v>
                </c:pt>
                <c:pt idx="3">
                  <c:v>2021</c:v>
                </c:pt>
                <c:pt idx="4">
                  <c:v>2022</c:v>
                </c:pt>
                <c:pt idx="5">
                  <c:v>2023</c:v>
                </c:pt>
                <c:pt idx="6">
                  <c:v>2024</c:v>
                </c:pt>
                <c:pt idx="7">
                  <c:v>2025</c:v>
                </c:pt>
              </c:strCache>
            </c:strRef>
          </c:cat>
          <c:val>
            <c:numRef>
              <c:f>Scenarios!$C$180:$J$180</c:f>
              <c:numCache>
                <c:formatCode>#,##0</c:formatCode>
                <c:ptCount val="8"/>
                <c:pt idx="0">
                  <c:v>98544.631847278419</c:v>
                </c:pt>
                <c:pt idx="1">
                  <c:v>224294.34727673099</c:v>
                </c:pt>
                <c:pt idx="2">
                  <c:v>377930.56114803709</c:v>
                </c:pt>
                <c:pt idx="3">
                  <c:v>552682.97438957705</c:v>
                </c:pt>
                <c:pt idx="4">
                  <c:v>733558.50213251484</c:v>
                </c:pt>
                <c:pt idx="5">
                  <c:v>929942.69413371827</c:v>
                </c:pt>
                <c:pt idx="6">
                  <c:v>1140616.0816567382</c:v>
                </c:pt>
                <c:pt idx="7">
                  <c:v>1365831.5427113664</c:v>
                </c:pt>
              </c:numCache>
            </c:numRef>
          </c:val>
          <c:extLst>
            <c:ext xmlns:c16="http://schemas.microsoft.com/office/drawing/2014/chart" uri="{C3380CC4-5D6E-409C-BE32-E72D297353CC}">
              <c16:uniqueId val="{00000000-3FA6-4233-82F5-58F56F54AD23}"/>
            </c:ext>
          </c:extLst>
        </c:ser>
        <c:ser>
          <c:idx val="1"/>
          <c:order val="1"/>
          <c:tx>
            <c:strRef>
              <c:f>Scenarios!$A$179</c:f>
              <c:strCache>
                <c:ptCount val="1"/>
                <c:pt idx="0">
                  <c:v>cumulative BEVs</c:v>
                </c:pt>
              </c:strCache>
            </c:strRef>
          </c:tx>
          <c:spPr>
            <a:solidFill>
              <a:schemeClr val="accent1"/>
            </a:solidFill>
          </c:spPr>
          <c:cat>
            <c:strRef>
              <c:f>Scenarios!$C$176:$J$176</c:f>
              <c:strCache>
                <c:ptCount val="8"/>
                <c:pt idx="0">
                  <c:v>2018</c:v>
                </c:pt>
                <c:pt idx="1">
                  <c:v>2019</c:v>
                </c:pt>
                <c:pt idx="2">
                  <c:v>2020</c:v>
                </c:pt>
                <c:pt idx="3">
                  <c:v>2021</c:v>
                </c:pt>
                <c:pt idx="4">
                  <c:v>2022</c:v>
                </c:pt>
                <c:pt idx="5">
                  <c:v>2023</c:v>
                </c:pt>
                <c:pt idx="6">
                  <c:v>2024</c:v>
                </c:pt>
                <c:pt idx="7">
                  <c:v>2025</c:v>
                </c:pt>
              </c:strCache>
            </c:strRef>
          </c:cat>
          <c:val>
            <c:numRef>
              <c:f>Scenarios!$C$179:$J$179</c:f>
              <c:numCache>
                <c:formatCode>#,##0</c:formatCode>
                <c:ptCount val="8"/>
                <c:pt idx="0">
                  <c:v>23215.978377187079</c:v>
                </c:pt>
                <c:pt idx="1">
                  <c:v>67598.377931026072</c:v>
                </c:pt>
                <c:pt idx="2">
                  <c:v>136621.05745967911</c:v>
                </c:pt>
                <c:pt idx="3">
                  <c:v>230855.82082318582</c:v>
                </c:pt>
                <c:pt idx="4">
                  <c:v>334714.40208746161</c:v>
                </c:pt>
                <c:pt idx="5">
                  <c:v>452915.30816330854</c:v>
                </c:pt>
                <c:pt idx="6">
                  <c:v>583981.36044608592</c:v>
                </c:pt>
                <c:pt idx="7">
                  <c:v>727284.80894621881</c:v>
                </c:pt>
              </c:numCache>
            </c:numRef>
          </c:val>
          <c:extLst>
            <c:ext xmlns:c16="http://schemas.microsoft.com/office/drawing/2014/chart" uri="{C3380CC4-5D6E-409C-BE32-E72D297353CC}">
              <c16:uniqueId val="{00000001-3FA6-4233-82F5-58F56F54AD23}"/>
            </c:ext>
          </c:extLst>
        </c:ser>
        <c:ser>
          <c:idx val="2"/>
          <c:order val="2"/>
          <c:tx>
            <c:strRef>
              <c:f>Scenarios!$A$172</c:f>
              <c:strCache>
                <c:ptCount val="1"/>
                <c:pt idx="0">
                  <c:v>cumulative FCEVs </c:v>
                </c:pt>
              </c:strCache>
            </c:strRef>
          </c:tx>
          <c:spPr>
            <a:ln w="25400">
              <a:noFill/>
            </a:ln>
          </c:spPr>
          <c:val>
            <c:numRef>
              <c:f>Scenarios!$C$172:$J$172</c:f>
              <c:numCache>
                <c:formatCode>#,##0</c:formatCode>
                <c:ptCount val="8"/>
                <c:pt idx="0">
                  <c:v>2368.3782706994598</c:v>
                </c:pt>
                <c:pt idx="1">
                  <c:v>7210.945431215554</c:v>
                </c:pt>
                <c:pt idx="2">
                  <c:v>14517.549840418804</c:v>
                </c:pt>
                <c:pt idx="3">
                  <c:v>24344.179176711521</c:v>
                </c:pt>
                <c:pt idx="4">
                  <c:v>40559.126513415606</c:v>
                </c:pt>
                <c:pt idx="5">
                  <c:v>59961.800361558759</c:v>
                </c:pt>
                <c:pt idx="6">
                  <c:v>82531.982291991269</c:v>
                </c:pt>
                <c:pt idx="7">
                  <c:v>108386.85863175771</c:v>
                </c:pt>
              </c:numCache>
            </c:numRef>
          </c:val>
          <c:extLst>
            <c:ext xmlns:c16="http://schemas.microsoft.com/office/drawing/2014/chart" uri="{C3380CC4-5D6E-409C-BE32-E72D297353CC}">
              <c16:uniqueId val="{00000002-3FA6-4233-82F5-58F56F54AD23}"/>
            </c:ext>
          </c:extLst>
        </c:ser>
        <c:dLbls>
          <c:showLegendKey val="0"/>
          <c:showVal val="0"/>
          <c:showCatName val="0"/>
          <c:showSerName val="0"/>
          <c:showPercent val="0"/>
          <c:showBubbleSize val="0"/>
        </c:dLbls>
        <c:axId val="136499200"/>
        <c:axId val="136500736"/>
      </c:areaChart>
      <c:catAx>
        <c:axId val="136499200"/>
        <c:scaling>
          <c:orientation val="minMax"/>
        </c:scaling>
        <c:delete val="0"/>
        <c:axPos val="b"/>
        <c:numFmt formatCode="General" sourceLinked="1"/>
        <c:majorTickMark val="out"/>
        <c:minorTickMark val="none"/>
        <c:tickLblPos val="nextTo"/>
        <c:crossAx val="136500736"/>
        <c:crosses val="autoZero"/>
        <c:auto val="1"/>
        <c:lblAlgn val="ctr"/>
        <c:lblOffset val="100"/>
        <c:noMultiLvlLbl val="0"/>
      </c:catAx>
      <c:valAx>
        <c:axId val="136500736"/>
        <c:scaling>
          <c:orientation val="minMax"/>
        </c:scaling>
        <c:delete val="0"/>
        <c:axPos val="l"/>
        <c:title>
          <c:tx>
            <c:rich>
              <a:bodyPr rot="-5400000" vert="horz"/>
              <a:lstStyle/>
              <a:p>
                <a:pPr>
                  <a:defRPr/>
                </a:pPr>
                <a:r>
                  <a:rPr lang="en-US"/>
                  <a:t>Cumulative CA +  S177 PHEV/BEV/FCEV</a:t>
                </a:r>
              </a:p>
            </c:rich>
          </c:tx>
          <c:layout/>
          <c:overlay val="0"/>
        </c:title>
        <c:numFmt formatCode="#,##0" sourceLinked="1"/>
        <c:majorTickMark val="out"/>
        <c:minorTickMark val="none"/>
        <c:tickLblPos val="nextTo"/>
        <c:crossAx val="136499200"/>
        <c:crosses val="autoZero"/>
        <c:crossBetween val="midCat"/>
      </c:valAx>
      <c:spPr>
        <a:ln>
          <a:solidFill>
            <a:schemeClr val="tx1"/>
          </a:solidFill>
        </a:ln>
      </c:spPr>
    </c:plotArea>
    <c:legend>
      <c:legendPos val="r"/>
      <c:layout>
        <c:manualLayout>
          <c:xMode val="edge"/>
          <c:yMode val="edge"/>
          <c:x val="0.16630093847191033"/>
          <c:y val="0.18098549411424172"/>
          <c:w val="0.11051163805605746"/>
          <c:h val="0.1705123681473778"/>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2012 Scenario</a:t>
            </a:r>
            <a:r>
              <a:rPr lang="en-US" sz="1000" baseline="0"/>
              <a:t> </a:t>
            </a:r>
          </a:p>
          <a:p>
            <a:pPr>
              <a:defRPr sz="1000"/>
            </a:pPr>
            <a:r>
              <a:rPr lang="en-US" sz="1000"/>
              <a:t>Cumulativ</a:t>
            </a:r>
            <a:r>
              <a:rPr lang="en-US" sz="1000" baseline="0"/>
              <a:t>e </a:t>
            </a:r>
            <a:r>
              <a:rPr lang="en-US" sz="1000"/>
              <a:t>CA Vehicle Numbers</a:t>
            </a:r>
          </a:p>
        </c:rich>
      </c:tx>
      <c:layout/>
      <c:overlay val="0"/>
    </c:title>
    <c:autoTitleDeleted val="0"/>
    <c:plotArea>
      <c:layout>
        <c:manualLayout>
          <c:layoutTarget val="inner"/>
          <c:xMode val="edge"/>
          <c:yMode val="edge"/>
          <c:x val="0.10617561320241452"/>
          <c:y val="0.1308957968823288"/>
          <c:w val="0.86536265054553707"/>
          <c:h val="0.77122582731266043"/>
        </c:manualLayout>
      </c:layout>
      <c:areaChart>
        <c:grouping val="stacked"/>
        <c:varyColors val="0"/>
        <c:ser>
          <c:idx val="2"/>
          <c:order val="0"/>
          <c:tx>
            <c:strRef>
              <c:f>Scenarios!$A$36</c:f>
              <c:strCache>
                <c:ptCount val="1"/>
                <c:pt idx="0">
                  <c:v>cumulative CA 2012 Scenario: PHEVs</c:v>
                </c:pt>
              </c:strCache>
            </c:strRef>
          </c:tx>
          <c:spPr>
            <a:solidFill>
              <a:schemeClr val="accent2"/>
            </a:solidFill>
            <a:ln w="25400">
              <a:noFill/>
            </a:ln>
          </c:spP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Scenarios!$B$36:$I$36</c:f>
              <c:numCache>
                <c:formatCode>#,##0</c:formatCode>
                <c:ptCount val="8"/>
                <c:pt idx="0">
                  <c:v>61259.290151869347</c:v>
                </c:pt>
                <c:pt idx="1">
                  <c:v>136522.45876896218</c:v>
                </c:pt>
                <c:pt idx="2">
                  <c:v>225617.93204658423</c:v>
                </c:pt>
                <c:pt idx="3">
                  <c:v>327513.92927628732</c:v>
                </c:pt>
                <c:pt idx="4">
                  <c:v>443904.74345104507</c:v>
                </c:pt>
                <c:pt idx="5">
                  <c:v>575062.70784759126</c:v>
                </c:pt>
                <c:pt idx="6">
                  <c:v>721968.56410248321</c:v>
                </c:pt>
                <c:pt idx="7">
                  <c:v>883651.41148094088</c:v>
                </c:pt>
              </c:numCache>
            </c:numRef>
          </c:val>
          <c:extLst>
            <c:ext xmlns:c16="http://schemas.microsoft.com/office/drawing/2014/chart" uri="{C3380CC4-5D6E-409C-BE32-E72D297353CC}">
              <c16:uniqueId val="{00000000-ADE3-4DC9-865F-5E577E300D25}"/>
            </c:ext>
          </c:extLst>
        </c:ser>
        <c:ser>
          <c:idx val="0"/>
          <c:order val="1"/>
          <c:tx>
            <c:strRef>
              <c:f>Scenarios!$A$35</c:f>
              <c:strCache>
                <c:ptCount val="1"/>
                <c:pt idx="0">
                  <c:v>cumulative CA 2012 Scenario: BEVs</c:v>
                </c:pt>
              </c:strCache>
            </c:strRef>
          </c:tx>
          <c:spPr>
            <a:solidFill>
              <a:schemeClr val="accent1"/>
            </a:solidFill>
            <a:ln w="25400">
              <a:noFill/>
            </a:ln>
          </c:spP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Scenarios!$B$35:$I$35</c:f>
              <c:numCache>
                <c:formatCode>#,##0</c:formatCode>
                <c:ptCount val="8"/>
                <c:pt idx="0">
                  <c:v>13872.978431498137</c:v>
                </c:pt>
                <c:pt idx="1">
                  <c:v>41123.018496594319</c:v>
                </c:pt>
                <c:pt idx="2">
                  <c:v>78795.463508498593</c:v>
                </c:pt>
                <c:pt idx="3">
                  <c:v>125062.02836757711</c:v>
                </c:pt>
                <c:pt idx="4">
                  <c:v>177612.75669037027</c:v>
                </c:pt>
                <c:pt idx="5">
                  <c:v>237112.35466547197</c:v>
                </c:pt>
                <c:pt idx="6">
                  <c:v>301343.34760059515</c:v>
                </c:pt>
                <c:pt idx="7">
                  <c:v>366726.639360503</c:v>
                </c:pt>
              </c:numCache>
            </c:numRef>
          </c:val>
          <c:extLst>
            <c:ext xmlns:c16="http://schemas.microsoft.com/office/drawing/2014/chart" uri="{C3380CC4-5D6E-409C-BE32-E72D297353CC}">
              <c16:uniqueId val="{00000001-ADE3-4DC9-865F-5E577E300D25}"/>
            </c:ext>
          </c:extLst>
        </c:ser>
        <c:ser>
          <c:idx val="1"/>
          <c:order val="2"/>
          <c:tx>
            <c:strRef>
              <c:f>Scenarios!$A$34</c:f>
              <c:strCache>
                <c:ptCount val="1"/>
                <c:pt idx="0">
                  <c:v>cumulative CA 2012 Scenario: FCEVs</c:v>
                </c:pt>
              </c:strCache>
            </c:strRef>
          </c:tx>
          <c:spPr>
            <a:solidFill>
              <a:schemeClr val="accent3"/>
            </a:solidFill>
          </c:spPr>
          <c:cat>
            <c:strRef>
              <c:f>Scenarios!$B$39:$I$39</c:f>
              <c:strCache>
                <c:ptCount val="8"/>
                <c:pt idx="0">
                  <c:v>2018</c:v>
                </c:pt>
                <c:pt idx="1">
                  <c:v>2019</c:v>
                </c:pt>
                <c:pt idx="2">
                  <c:v>2020</c:v>
                </c:pt>
                <c:pt idx="3">
                  <c:v>2021</c:v>
                </c:pt>
                <c:pt idx="4">
                  <c:v>2022</c:v>
                </c:pt>
                <c:pt idx="5">
                  <c:v>2023</c:v>
                </c:pt>
                <c:pt idx="6">
                  <c:v>2024</c:v>
                </c:pt>
                <c:pt idx="7">
                  <c:v>2025</c:v>
                </c:pt>
              </c:strCache>
            </c:strRef>
          </c:cat>
          <c:val>
            <c:numRef>
              <c:f>Scenarios!$B$34:$I$34</c:f>
              <c:numCache>
                <c:formatCode>#,##0</c:formatCode>
                <c:ptCount val="8"/>
                <c:pt idx="0">
                  <c:v>2942.7530006208181</c:v>
                </c:pt>
                <c:pt idx="1">
                  <c:v>9157.6744189760902</c:v>
                </c:pt>
                <c:pt idx="2">
                  <c:v>19783.235832590115</c:v>
                </c:pt>
                <c:pt idx="3">
                  <c:v>35205.424118949617</c:v>
                </c:pt>
                <c:pt idx="4">
                  <c:v>56843.959310687969</c:v>
                </c:pt>
                <c:pt idx="5">
                  <c:v>84610.438365735419</c:v>
                </c:pt>
                <c:pt idx="6">
                  <c:v>119784.55354449333</c:v>
                </c:pt>
                <c:pt idx="7">
                  <c:v>163373.41471776523</c:v>
                </c:pt>
              </c:numCache>
            </c:numRef>
          </c:val>
          <c:extLst>
            <c:ext xmlns:c16="http://schemas.microsoft.com/office/drawing/2014/chart" uri="{C3380CC4-5D6E-409C-BE32-E72D297353CC}">
              <c16:uniqueId val="{00000002-ADE3-4DC9-865F-5E577E300D25}"/>
            </c:ext>
          </c:extLst>
        </c:ser>
        <c:dLbls>
          <c:showLegendKey val="0"/>
          <c:showVal val="0"/>
          <c:showCatName val="0"/>
          <c:showSerName val="0"/>
          <c:showPercent val="0"/>
          <c:showBubbleSize val="0"/>
        </c:dLbls>
        <c:axId val="136540160"/>
        <c:axId val="136541696"/>
      </c:areaChart>
      <c:catAx>
        <c:axId val="136540160"/>
        <c:scaling>
          <c:orientation val="minMax"/>
        </c:scaling>
        <c:delete val="0"/>
        <c:axPos val="b"/>
        <c:numFmt formatCode="General" sourceLinked="1"/>
        <c:majorTickMark val="out"/>
        <c:minorTickMark val="none"/>
        <c:tickLblPos val="nextTo"/>
        <c:crossAx val="136541696"/>
        <c:crosses val="autoZero"/>
        <c:auto val="1"/>
        <c:lblAlgn val="ctr"/>
        <c:lblOffset val="100"/>
        <c:noMultiLvlLbl val="0"/>
      </c:catAx>
      <c:valAx>
        <c:axId val="136541696"/>
        <c:scaling>
          <c:orientation val="minMax"/>
        </c:scaling>
        <c:delete val="0"/>
        <c:axPos val="l"/>
        <c:title>
          <c:tx>
            <c:rich>
              <a:bodyPr rot="-5400000" vert="horz"/>
              <a:lstStyle/>
              <a:p>
                <a:pPr>
                  <a:defRPr/>
                </a:pPr>
                <a:r>
                  <a:rPr lang="en-US"/>
                  <a:t>Cumulative</a:t>
                </a:r>
                <a:r>
                  <a:rPr lang="en-US" baseline="0"/>
                  <a:t> CA </a:t>
                </a:r>
                <a:r>
                  <a:rPr lang="en-US"/>
                  <a:t>PHEV/FCEV/BEV</a:t>
                </a:r>
              </a:p>
            </c:rich>
          </c:tx>
          <c:layout>
            <c:manualLayout>
              <c:xMode val="edge"/>
              <c:yMode val="edge"/>
              <c:x val="1.2288506079721559E-2"/>
              <c:y val="0.30116858352621212"/>
            </c:manualLayout>
          </c:layout>
          <c:overlay val="0"/>
        </c:title>
        <c:numFmt formatCode="#,##0" sourceLinked="1"/>
        <c:majorTickMark val="out"/>
        <c:minorTickMark val="none"/>
        <c:tickLblPos val="nextTo"/>
        <c:crossAx val="136540160"/>
        <c:crosses val="autoZero"/>
        <c:crossBetween val="midCat"/>
      </c:valAx>
      <c:spPr>
        <a:ln>
          <a:solidFill>
            <a:schemeClr val="tx1"/>
          </a:solidFill>
        </a:ln>
      </c:spPr>
    </c:plotArea>
    <c:legend>
      <c:legendPos val="r"/>
      <c:layout>
        <c:manualLayout>
          <c:xMode val="edge"/>
          <c:yMode val="edge"/>
          <c:x val="0.22524543273570982"/>
          <c:y val="0.22423632188570725"/>
          <c:w val="0.30445709911261093"/>
          <c:h val="0.21923759530058742"/>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spPr>
    <a:ln>
      <a:solidFill>
        <a:sysClr val="windowText" lastClr="000000"/>
      </a:solidFill>
    </a:ln>
  </c:spPr>
  <c:txPr>
    <a:bodyPr/>
    <a:lstStyle/>
    <a:p>
      <a:pPr>
        <a:defRPr sz="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1</a:t>
            </a:r>
          </a:p>
          <a:p>
            <a:pPr>
              <a:defRPr sz="1000"/>
            </a:pPr>
            <a:r>
              <a:rPr lang="en-US" sz="1000"/>
              <a:t>CA + S177 Vehicle Numbers</a:t>
            </a:r>
          </a:p>
        </c:rich>
      </c:tx>
      <c:layout/>
      <c:overlay val="0"/>
    </c:title>
    <c:autoTitleDeleted val="0"/>
    <c:plotArea>
      <c:layout>
        <c:manualLayout>
          <c:layoutTarget val="inner"/>
          <c:xMode val="edge"/>
          <c:yMode val="edge"/>
          <c:x val="0.10150875622140618"/>
          <c:y val="0.13100602855415666"/>
          <c:w val="0.7962285283127315"/>
          <c:h val="0.77984722209796753"/>
        </c:manualLayout>
      </c:layout>
      <c:barChart>
        <c:barDir val="col"/>
        <c:grouping val="stacked"/>
        <c:varyColors val="0"/>
        <c:ser>
          <c:idx val="1"/>
          <c:order val="0"/>
          <c:tx>
            <c:strRef>
              <c:f>Scenarios!$A$88</c:f>
              <c:strCache>
                <c:ptCount val="1"/>
                <c:pt idx="0">
                  <c:v>Annual PHEVs</c:v>
                </c:pt>
              </c:strCache>
            </c:strRef>
          </c:tx>
          <c:invertIfNegative val="0"/>
          <c:cat>
            <c:strRef>
              <c:f>Scenarios!$C$86:$J$86</c:f>
              <c:strCache>
                <c:ptCount val="8"/>
                <c:pt idx="0">
                  <c:v>2018</c:v>
                </c:pt>
                <c:pt idx="1">
                  <c:v>2019</c:v>
                </c:pt>
                <c:pt idx="2">
                  <c:v>2020</c:v>
                </c:pt>
                <c:pt idx="3">
                  <c:v>2021</c:v>
                </c:pt>
                <c:pt idx="4">
                  <c:v>2022</c:v>
                </c:pt>
                <c:pt idx="5">
                  <c:v>2023</c:v>
                </c:pt>
                <c:pt idx="6">
                  <c:v>2024</c:v>
                </c:pt>
                <c:pt idx="7">
                  <c:v>2025</c:v>
                </c:pt>
              </c:strCache>
            </c:strRef>
          </c:cat>
          <c:val>
            <c:numRef>
              <c:f>Scenarios!$C$88:$J$88</c:f>
              <c:numCache>
                <c:formatCode>#,##0</c:formatCode>
                <c:ptCount val="8"/>
                <c:pt idx="0">
                  <c:v>89924.884905703861</c:v>
                </c:pt>
                <c:pt idx="1">
                  <c:v>114576.77881741902</c:v>
                </c:pt>
                <c:pt idx="2">
                  <c:v>147846.15983392156</c:v>
                </c:pt>
                <c:pt idx="3">
                  <c:v>168693.22232263035</c:v>
                </c:pt>
                <c:pt idx="4">
                  <c:v>175937.46619612863</c:v>
                </c:pt>
                <c:pt idx="5">
                  <c:v>191190.13488988311</c:v>
                </c:pt>
                <c:pt idx="6">
                  <c:v>205249.89479542032</c:v>
                </c:pt>
                <c:pt idx="7">
                  <c:v>219530.32082274818</c:v>
                </c:pt>
              </c:numCache>
            </c:numRef>
          </c:val>
          <c:extLst>
            <c:ext xmlns:c16="http://schemas.microsoft.com/office/drawing/2014/chart" uri="{C3380CC4-5D6E-409C-BE32-E72D297353CC}">
              <c16:uniqueId val="{00000000-BEBD-4E84-B946-17D3EFD76EBA}"/>
            </c:ext>
          </c:extLst>
        </c:ser>
        <c:ser>
          <c:idx val="0"/>
          <c:order val="1"/>
          <c:tx>
            <c:strRef>
              <c:f>Scenarios!$A$87</c:f>
              <c:strCache>
                <c:ptCount val="1"/>
                <c:pt idx="0">
                  <c:v>Annual BEVs</c:v>
                </c:pt>
              </c:strCache>
            </c:strRef>
          </c:tx>
          <c:invertIfNegative val="0"/>
          <c:cat>
            <c:strRef>
              <c:f>Scenarios!$C$86:$J$86</c:f>
              <c:strCache>
                <c:ptCount val="8"/>
                <c:pt idx="0">
                  <c:v>2018</c:v>
                </c:pt>
                <c:pt idx="1">
                  <c:v>2019</c:v>
                </c:pt>
                <c:pt idx="2">
                  <c:v>2020</c:v>
                </c:pt>
                <c:pt idx="3">
                  <c:v>2021</c:v>
                </c:pt>
                <c:pt idx="4">
                  <c:v>2022</c:v>
                </c:pt>
                <c:pt idx="5">
                  <c:v>2023</c:v>
                </c:pt>
                <c:pt idx="6">
                  <c:v>2024</c:v>
                </c:pt>
                <c:pt idx="7">
                  <c:v>2025</c:v>
                </c:pt>
              </c:strCache>
            </c:strRef>
          </c:cat>
          <c:val>
            <c:numRef>
              <c:f>Scenarios!$C$87:$J$87</c:f>
              <c:numCache>
                <c:formatCode>#,##0</c:formatCode>
                <c:ptCount val="8"/>
                <c:pt idx="0">
                  <c:v>14232.833512989306</c:v>
                </c:pt>
                <c:pt idx="1">
                  <c:v>28796.408798477038</c:v>
                </c:pt>
                <c:pt idx="2">
                  <c:v>47245.211067057258</c:v>
                </c:pt>
                <c:pt idx="3">
                  <c:v>65648.491552503823</c:v>
                </c:pt>
                <c:pt idx="4">
                  <c:v>71476.270270976631</c:v>
                </c:pt>
                <c:pt idx="5">
                  <c:v>81581.478184350766</c:v>
                </c:pt>
                <c:pt idx="6">
                  <c:v>90649.723491648183</c:v>
                </c:pt>
                <c:pt idx="7">
                  <c:v>99270.123851991317</c:v>
                </c:pt>
              </c:numCache>
            </c:numRef>
          </c:val>
          <c:extLst>
            <c:ext xmlns:c16="http://schemas.microsoft.com/office/drawing/2014/chart" uri="{C3380CC4-5D6E-409C-BE32-E72D297353CC}">
              <c16:uniqueId val="{00000001-BEBD-4E84-B946-17D3EFD76EBA}"/>
            </c:ext>
          </c:extLst>
        </c:ser>
        <c:ser>
          <c:idx val="3"/>
          <c:order val="2"/>
          <c:tx>
            <c:strRef>
              <c:f>Scenarios!$A$79</c:f>
              <c:strCache>
                <c:ptCount val="1"/>
                <c:pt idx="0">
                  <c:v>Annual FCEVs</c:v>
                </c:pt>
              </c:strCache>
            </c:strRef>
          </c:tx>
          <c:spPr>
            <a:solidFill>
              <a:schemeClr val="accent3"/>
            </a:solidFill>
          </c:spPr>
          <c:invertIfNegative val="0"/>
          <c:val>
            <c:numRef>
              <c:f>Scenarios!$C$79:$J$79</c:f>
              <c:numCache>
                <c:formatCode>#,##0</c:formatCode>
                <c:ptCount val="8"/>
                <c:pt idx="0">
                  <c:v>2031.4254178942599</c:v>
                </c:pt>
                <c:pt idx="1">
                  <c:v>4153.6076138830413</c:v>
                </c:pt>
                <c:pt idx="2">
                  <c:v>6287.6203834533981</c:v>
                </c:pt>
                <c:pt idx="3">
                  <c:v>8483.2473723295934</c:v>
                </c:pt>
                <c:pt idx="4">
                  <c:v>14126.712454923143</c:v>
                </c:pt>
                <c:pt idx="5">
                  <c:v>16903.909005546564</c:v>
                </c:pt>
                <c:pt idx="6">
                  <c:v>19663.490948551633</c:v>
                </c:pt>
                <c:pt idx="7">
                  <c:v>22525.167428864272</c:v>
                </c:pt>
              </c:numCache>
            </c:numRef>
          </c:val>
          <c:extLst>
            <c:ext xmlns:c16="http://schemas.microsoft.com/office/drawing/2014/chart" uri="{C3380CC4-5D6E-409C-BE32-E72D297353CC}">
              <c16:uniqueId val="{00000002-BEBD-4E84-B946-17D3EFD76EBA}"/>
            </c:ext>
          </c:extLst>
        </c:ser>
        <c:dLbls>
          <c:showLegendKey val="0"/>
          <c:showVal val="0"/>
          <c:showCatName val="0"/>
          <c:showSerName val="0"/>
          <c:showPercent val="0"/>
          <c:showBubbleSize val="0"/>
        </c:dLbls>
        <c:gapWidth val="150"/>
        <c:overlap val="100"/>
        <c:axId val="135590272"/>
        <c:axId val="135591808"/>
      </c:barChart>
      <c:lineChart>
        <c:grouping val="standard"/>
        <c:varyColors val="0"/>
        <c:ser>
          <c:idx val="2"/>
          <c:order val="3"/>
          <c:tx>
            <c:strRef>
              <c:f>Scenarios!$A$91</c:f>
              <c:strCache>
                <c:ptCount val="1"/>
                <c:pt idx="0">
                  <c:v>cumulative CA + S177 (2018-2025)</c:v>
                </c:pt>
              </c:strCache>
            </c:strRef>
          </c:tx>
          <c:spPr>
            <a:ln>
              <a:solidFill>
                <a:schemeClr val="tx1"/>
              </a:solidFill>
            </a:ln>
          </c:spPr>
          <c:marker>
            <c:symbol val="none"/>
          </c:marker>
          <c:cat>
            <c:strRef>
              <c:f>Scenarios!$C$86:$J$86</c:f>
              <c:strCache>
                <c:ptCount val="8"/>
                <c:pt idx="0">
                  <c:v>2018</c:v>
                </c:pt>
                <c:pt idx="1">
                  <c:v>2019</c:v>
                </c:pt>
                <c:pt idx="2">
                  <c:v>2020</c:v>
                </c:pt>
                <c:pt idx="3">
                  <c:v>2021</c:v>
                </c:pt>
                <c:pt idx="4">
                  <c:v>2022</c:v>
                </c:pt>
                <c:pt idx="5">
                  <c:v>2023</c:v>
                </c:pt>
                <c:pt idx="6">
                  <c:v>2024</c:v>
                </c:pt>
                <c:pt idx="7">
                  <c:v>2025</c:v>
                </c:pt>
              </c:strCache>
            </c:strRef>
          </c:cat>
          <c:val>
            <c:numRef>
              <c:f>Scenarios!$C$91:$J$91</c:f>
              <c:numCache>
                <c:formatCode>#,##0</c:formatCode>
                <c:ptCount val="8"/>
                <c:pt idx="0">
                  <c:v>260348.49590148788</c:v>
                </c:pt>
                <c:pt idx="1">
                  <c:v>407875.29113126697</c:v>
                </c:pt>
                <c:pt idx="2">
                  <c:v>609254.28241569921</c:v>
                </c:pt>
                <c:pt idx="3">
                  <c:v>852079.24366316292</c:v>
                </c:pt>
                <c:pt idx="4">
                  <c:v>1113619.6925851915</c:v>
                </c:pt>
                <c:pt idx="5">
                  <c:v>1403295.2146649717</c:v>
                </c:pt>
                <c:pt idx="6">
                  <c:v>1718858.3239005916</c:v>
                </c:pt>
                <c:pt idx="7">
                  <c:v>2060183.9360041956</c:v>
                </c:pt>
              </c:numCache>
            </c:numRef>
          </c:val>
          <c:smooth val="0"/>
          <c:extLst>
            <c:ext xmlns:c16="http://schemas.microsoft.com/office/drawing/2014/chart" uri="{C3380CC4-5D6E-409C-BE32-E72D297353CC}">
              <c16:uniqueId val="{00000003-BEBD-4E84-B946-17D3EFD76EBA}"/>
            </c:ext>
          </c:extLst>
        </c:ser>
        <c:dLbls>
          <c:showLegendKey val="0"/>
          <c:showVal val="0"/>
          <c:showCatName val="0"/>
          <c:showSerName val="0"/>
          <c:showPercent val="0"/>
          <c:showBubbleSize val="0"/>
        </c:dLbls>
        <c:marker val="1"/>
        <c:smooth val="0"/>
        <c:axId val="135595904"/>
        <c:axId val="135593984"/>
      </c:lineChart>
      <c:catAx>
        <c:axId val="135590272"/>
        <c:scaling>
          <c:orientation val="minMax"/>
        </c:scaling>
        <c:delete val="0"/>
        <c:axPos val="b"/>
        <c:numFmt formatCode="General" sourceLinked="1"/>
        <c:majorTickMark val="out"/>
        <c:minorTickMark val="none"/>
        <c:tickLblPos val="nextTo"/>
        <c:crossAx val="135591808"/>
        <c:crosses val="autoZero"/>
        <c:auto val="1"/>
        <c:lblAlgn val="ctr"/>
        <c:lblOffset val="100"/>
        <c:noMultiLvlLbl val="0"/>
      </c:catAx>
      <c:valAx>
        <c:axId val="135591808"/>
        <c:scaling>
          <c:orientation val="minMax"/>
        </c:scaling>
        <c:delete val="0"/>
        <c:axPos val="l"/>
        <c:title>
          <c:tx>
            <c:rich>
              <a:bodyPr rot="-5400000" vert="horz"/>
              <a:lstStyle/>
              <a:p>
                <a:pPr>
                  <a:defRPr/>
                </a:pPr>
                <a:r>
                  <a:rPr lang="en-US"/>
                  <a:t>Annual CA + S177 PHEV/BEV/FCEV</a:t>
                </a:r>
              </a:p>
            </c:rich>
          </c:tx>
          <c:layout>
            <c:manualLayout>
              <c:xMode val="edge"/>
              <c:yMode val="edge"/>
              <c:x val="1.3129114029733255E-2"/>
              <c:y val="0.23004583081451302"/>
            </c:manualLayout>
          </c:layout>
          <c:overlay val="0"/>
        </c:title>
        <c:numFmt formatCode="#,##0" sourceLinked="1"/>
        <c:majorTickMark val="out"/>
        <c:minorTickMark val="none"/>
        <c:tickLblPos val="nextTo"/>
        <c:crossAx val="135590272"/>
        <c:crosses val="autoZero"/>
        <c:crossBetween val="between"/>
      </c:valAx>
      <c:valAx>
        <c:axId val="135593984"/>
        <c:scaling>
          <c:orientation val="minMax"/>
        </c:scaling>
        <c:delete val="0"/>
        <c:axPos val="r"/>
        <c:title>
          <c:tx>
            <c:rich>
              <a:bodyPr rot="-5400000" vert="horz"/>
              <a:lstStyle/>
              <a:p>
                <a:pPr>
                  <a:defRPr/>
                </a:pPr>
                <a:r>
                  <a:rPr lang="en-US"/>
                  <a:t>Cumulative</a:t>
                </a:r>
                <a:r>
                  <a:rPr lang="en-US" baseline="0"/>
                  <a:t> CA +  S177 PHEV/BEV/FCEV</a:t>
                </a:r>
                <a:endParaRPr lang="en-US"/>
              </a:p>
            </c:rich>
          </c:tx>
          <c:layout/>
          <c:overlay val="0"/>
        </c:title>
        <c:numFmt formatCode="#,##0" sourceLinked="1"/>
        <c:majorTickMark val="out"/>
        <c:minorTickMark val="none"/>
        <c:tickLblPos val="nextTo"/>
        <c:crossAx val="135595904"/>
        <c:crosses val="max"/>
        <c:crossBetween val="between"/>
      </c:valAx>
      <c:catAx>
        <c:axId val="135595904"/>
        <c:scaling>
          <c:orientation val="minMax"/>
        </c:scaling>
        <c:delete val="1"/>
        <c:axPos val="b"/>
        <c:numFmt formatCode="General" sourceLinked="1"/>
        <c:majorTickMark val="out"/>
        <c:minorTickMark val="none"/>
        <c:tickLblPos val="nextTo"/>
        <c:crossAx val="135593984"/>
        <c:crosses val="autoZero"/>
        <c:auto val="1"/>
        <c:lblAlgn val="ctr"/>
        <c:lblOffset val="100"/>
        <c:noMultiLvlLbl val="0"/>
      </c:catAx>
      <c:spPr>
        <a:ln>
          <a:solidFill>
            <a:schemeClr val="tx1"/>
          </a:solidFill>
        </a:ln>
      </c:spPr>
    </c:plotArea>
    <c:legend>
      <c:legendPos val="r"/>
      <c:layout>
        <c:manualLayout>
          <c:xMode val="edge"/>
          <c:yMode val="edge"/>
          <c:x val="0.14955833645794273"/>
          <c:y val="0.18611611048618923"/>
          <c:w val="0.26099417895607346"/>
          <c:h val="0.22717123046186391"/>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2</a:t>
            </a:r>
          </a:p>
          <a:p>
            <a:pPr>
              <a:defRPr sz="1000"/>
            </a:pPr>
            <a:r>
              <a:rPr lang="en-US" sz="1000"/>
              <a:t>CA Vehicle Numbers</a:t>
            </a:r>
          </a:p>
        </c:rich>
      </c:tx>
      <c:layout>
        <c:manualLayout>
          <c:xMode val="edge"/>
          <c:yMode val="edge"/>
          <c:x val="0.38743063342944789"/>
          <c:y val="2.0274008816479991E-2"/>
        </c:manualLayout>
      </c:layout>
      <c:overlay val="0"/>
    </c:title>
    <c:autoTitleDeleted val="0"/>
    <c:plotArea>
      <c:layout>
        <c:manualLayout>
          <c:layoutTarget val="inner"/>
          <c:xMode val="edge"/>
          <c:yMode val="edge"/>
          <c:x val="0.10581753972388235"/>
          <c:y val="0.12926835731679401"/>
          <c:w val="0.79226581449462308"/>
          <c:h val="0.77922689936333223"/>
        </c:manualLayout>
      </c:layout>
      <c:barChart>
        <c:barDir val="col"/>
        <c:grouping val="stacked"/>
        <c:varyColors val="0"/>
        <c:ser>
          <c:idx val="3"/>
          <c:order val="0"/>
          <c:tx>
            <c:strRef>
              <c:f>Scenarios!$A$125</c:f>
              <c:strCache>
                <c:ptCount val="1"/>
                <c:pt idx="0">
                  <c:v>Annual PHEVs</c:v>
                </c:pt>
              </c:strCache>
            </c:strRef>
          </c:tx>
          <c:spPr>
            <a:solidFill>
              <a:schemeClr val="accent2"/>
            </a:solidFill>
          </c:spPr>
          <c:invertIfNegative val="0"/>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Scenarios!$C$125:$J$125</c:f>
              <c:numCache>
                <c:formatCode>#,##0</c:formatCode>
                <c:ptCount val="8"/>
                <c:pt idx="0">
                  <c:v>25959.853255730224</c:v>
                </c:pt>
                <c:pt idx="1">
                  <c:v>31073.744200936097</c:v>
                </c:pt>
                <c:pt idx="2">
                  <c:v>43023.056102642673</c:v>
                </c:pt>
                <c:pt idx="3">
                  <c:v>50492.048793615548</c:v>
                </c:pt>
                <c:pt idx="4">
                  <c:v>57700.050607162979</c:v>
                </c:pt>
                <c:pt idx="5">
                  <c:v>62740.754704065555</c:v>
                </c:pt>
                <c:pt idx="6">
                  <c:v>67388.907840238404</c:v>
                </c:pt>
                <c:pt idx="7">
                  <c:v>72102.427912102779</c:v>
                </c:pt>
              </c:numCache>
            </c:numRef>
          </c:val>
          <c:extLst>
            <c:ext xmlns:c16="http://schemas.microsoft.com/office/drawing/2014/chart" uri="{C3380CC4-5D6E-409C-BE32-E72D297353CC}">
              <c16:uniqueId val="{00000000-6878-4B3C-9CDC-94DAA66C2BE3}"/>
            </c:ext>
          </c:extLst>
        </c:ser>
        <c:ser>
          <c:idx val="1"/>
          <c:order val="1"/>
          <c:tx>
            <c:strRef>
              <c:f>Scenarios!$A$123</c:f>
              <c:strCache>
                <c:ptCount val="1"/>
                <c:pt idx="0">
                  <c:v>Annual BEVs</c:v>
                </c:pt>
              </c:strCache>
            </c:strRef>
          </c:tx>
          <c:spPr>
            <a:solidFill>
              <a:schemeClr val="accent1"/>
            </a:solidFill>
          </c:spPr>
          <c:invertIfNegative val="0"/>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Scenarios!$C$123:$J$123</c:f>
              <c:numCache>
                <c:formatCode>#,##0</c:formatCode>
                <c:ptCount val="8"/>
                <c:pt idx="0">
                  <c:v>4913.6987606108751</c:v>
                </c:pt>
                <c:pt idx="1">
                  <c:v>9655.4853075776591</c:v>
                </c:pt>
                <c:pt idx="2">
                  <c:v>14416.104803317234</c:v>
                </c:pt>
                <c:pt idx="3">
                  <c:v>19058.60328500675</c:v>
                </c:pt>
                <c:pt idx="4">
                  <c:v>21213.230461150433</c:v>
                </c:pt>
                <c:pt idx="5">
                  <c:v>24359.123987330335</c:v>
                </c:pt>
                <c:pt idx="6">
                  <c:v>27184.528237485971</c:v>
                </c:pt>
                <c:pt idx="7">
                  <c:v>29867.12171475343</c:v>
                </c:pt>
              </c:numCache>
            </c:numRef>
          </c:val>
          <c:extLst>
            <c:ext xmlns:c16="http://schemas.microsoft.com/office/drawing/2014/chart" uri="{C3380CC4-5D6E-409C-BE32-E72D297353CC}">
              <c16:uniqueId val="{00000001-6878-4B3C-9CDC-94DAA66C2BE3}"/>
            </c:ext>
          </c:extLst>
        </c:ser>
        <c:ser>
          <c:idx val="2"/>
          <c:order val="2"/>
          <c:tx>
            <c:strRef>
              <c:f>Scenarios!$A$124</c:f>
              <c:strCache>
                <c:ptCount val="1"/>
                <c:pt idx="0">
                  <c:v>Annual FCEVs</c:v>
                </c:pt>
              </c:strCache>
            </c:strRef>
          </c:tx>
          <c:invertIfNegative val="0"/>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Scenarios!$C$124:$J$124</c:f>
              <c:numCache>
                <c:formatCode>#,##0</c:formatCode>
                <c:ptCount val="8"/>
                <c:pt idx="0">
                  <c:v>1748.1428282942536</c:v>
                </c:pt>
                <c:pt idx="1">
                  <c:v>3574.3863879013456</c:v>
                </c:pt>
                <c:pt idx="2">
                  <c:v>5528.5249787219345</c:v>
                </c:pt>
                <c:pt idx="3">
                  <c:v>7613.5889332505058</c:v>
                </c:pt>
                <c:pt idx="4">
                  <c:v>13410.178672765185</c:v>
                </c:pt>
                <c:pt idx="5">
                  <c:v>16046.510520821466</c:v>
                </c:pt>
                <c:pt idx="6">
                  <c:v>18666.121207732402</c:v>
                </c:pt>
                <c:pt idx="7">
                  <c:v>21382.648002419755</c:v>
                </c:pt>
              </c:numCache>
            </c:numRef>
          </c:val>
          <c:extLst>
            <c:ext xmlns:c16="http://schemas.microsoft.com/office/drawing/2014/chart" uri="{C3380CC4-5D6E-409C-BE32-E72D297353CC}">
              <c16:uniqueId val="{00000002-6878-4B3C-9CDC-94DAA66C2BE3}"/>
            </c:ext>
          </c:extLst>
        </c:ser>
        <c:dLbls>
          <c:showLegendKey val="0"/>
          <c:showVal val="0"/>
          <c:showCatName val="0"/>
          <c:showSerName val="0"/>
          <c:showPercent val="0"/>
          <c:showBubbleSize val="0"/>
        </c:dLbls>
        <c:gapWidth val="150"/>
        <c:overlap val="100"/>
        <c:axId val="135648768"/>
        <c:axId val="135650304"/>
      </c:barChart>
      <c:lineChart>
        <c:grouping val="standard"/>
        <c:varyColors val="0"/>
        <c:ser>
          <c:idx val="0"/>
          <c:order val="3"/>
          <c:tx>
            <c:strRef>
              <c:f>Scenarios!$A$129</c:f>
              <c:strCache>
                <c:ptCount val="1"/>
                <c:pt idx="0">
                  <c:v>cumulative CA (2018-2025)</c:v>
                </c:pt>
              </c:strCache>
            </c:strRef>
          </c:tx>
          <c:spPr>
            <a:ln>
              <a:solidFill>
                <a:schemeClr val="tx1"/>
              </a:solidFill>
            </a:ln>
          </c:spPr>
          <c:marker>
            <c:symbol val="none"/>
          </c:marker>
          <c:cat>
            <c:strRef>
              <c:f>Scenarios!$C$122:$J$122</c:f>
              <c:strCache>
                <c:ptCount val="8"/>
                <c:pt idx="0">
                  <c:v>2018</c:v>
                </c:pt>
                <c:pt idx="1">
                  <c:v>2019</c:v>
                </c:pt>
                <c:pt idx="2">
                  <c:v>2020</c:v>
                </c:pt>
                <c:pt idx="3">
                  <c:v>2021</c:v>
                </c:pt>
                <c:pt idx="4">
                  <c:v>2022</c:v>
                </c:pt>
                <c:pt idx="5">
                  <c:v>2023</c:v>
                </c:pt>
                <c:pt idx="6">
                  <c:v>2024</c:v>
                </c:pt>
                <c:pt idx="7">
                  <c:v>2025</c:v>
                </c:pt>
              </c:strCache>
            </c:strRef>
          </c:cat>
          <c:val>
            <c:numRef>
              <c:f>Scenarios!$C$129:$J$129</c:f>
              <c:numCache>
                <c:formatCode>#,##0</c:formatCode>
                <c:ptCount val="8"/>
                <c:pt idx="0">
                  <c:v>262971.30425340193</c:v>
                </c:pt>
                <c:pt idx="1">
                  <c:v>307274.92014981707</c:v>
                </c:pt>
                <c:pt idx="2">
                  <c:v>370242.60603449889</c:v>
                </c:pt>
                <c:pt idx="3">
                  <c:v>447406.84704637167</c:v>
                </c:pt>
                <c:pt idx="4">
                  <c:v>539730.30678745022</c:v>
                </c:pt>
                <c:pt idx="5">
                  <c:v>642876.69599966751</c:v>
                </c:pt>
                <c:pt idx="6">
                  <c:v>756116.25328512443</c:v>
                </c:pt>
                <c:pt idx="7">
                  <c:v>879468.4509144004</c:v>
                </c:pt>
              </c:numCache>
            </c:numRef>
          </c:val>
          <c:smooth val="0"/>
          <c:extLst>
            <c:ext xmlns:c16="http://schemas.microsoft.com/office/drawing/2014/chart" uri="{C3380CC4-5D6E-409C-BE32-E72D297353CC}">
              <c16:uniqueId val="{00000003-6878-4B3C-9CDC-94DAA66C2BE3}"/>
            </c:ext>
          </c:extLst>
        </c:ser>
        <c:dLbls>
          <c:showLegendKey val="0"/>
          <c:showVal val="0"/>
          <c:showCatName val="0"/>
          <c:showSerName val="0"/>
          <c:showPercent val="0"/>
          <c:showBubbleSize val="0"/>
        </c:dLbls>
        <c:marker val="1"/>
        <c:smooth val="0"/>
        <c:axId val="135728128"/>
        <c:axId val="135726208"/>
      </c:lineChart>
      <c:catAx>
        <c:axId val="135648768"/>
        <c:scaling>
          <c:orientation val="minMax"/>
        </c:scaling>
        <c:delete val="0"/>
        <c:axPos val="b"/>
        <c:numFmt formatCode="General" sourceLinked="1"/>
        <c:majorTickMark val="out"/>
        <c:minorTickMark val="none"/>
        <c:tickLblPos val="nextTo"/>
        <c:crossAx val="135650304"/>
        <c:crosses val="autoZero"/>
        <c:auto val="1"/>
        <c:lblAlgn val="ctr"/>
        <c:lblOffset val="100"/>
        <c:noMultiLvlLbl val="0"/>
      </c:catAx>
      <c:valAx>
        <c:axId val="135650304"/>
        <c:scaling>
          <c:orientation val="minMax"/>
        </c:scaling>
        <c:delete val="0"/>
        <c:axPos val="l"/>
        <c:title>
          <c:tx>
            <c:rich>
              <a:bodyPr rot="-5400000" vert="horz"/>
              <a:lstStyle/>
              <a:p>
                <a:pPr>
                  <a:defRPr/>
                </a:pPr>
                <a:r>
                  <a:rPr lang="en-US"/>
                  <a:t>Annual CA PHEV/BEV/FCEV</a:t>
                </a:r>
              </a:p>
            </c:rich>
          </c:tx>
          <c:layout>
            <c:manualLayout>
              <c:xMode val="edge"/>
              <c:yMode val="edge"/>
              <c:x val="2.1771900847182411E-2"/>
              <c:y val="0.25028535268314533"/>
            </c:manualLayout>
          </c:layout>
          <c:overlay val="0"/>
        </c:title>
        <c:numFmt formatCode="#,##0" sourceLinked="1"/>
        <c:majorTickMark val="out"/>
        <c:minorTickMark val="none"/>
        <c:tickLblPos val="nextTo"/>
        <c:crossAx val="135648768"/>
        <c:crosses val="autoZero"/>
        <c:crossBetween val="between"/>
      </c:valAx>
      <c:valAx>
        <c:axId val="135726208"/>
        <c:scaling>
          <c:orientation val="minMax"/>
        </c:scaling>
        <c:delete val="0"/>
        <c:axPos val="r"/>
        <c:title>
          <c:tx>
            <c:rich>
              <a:bodyPr rot="-5400000" vert="horz"/>
              <a:lstStyle/>
              <a:p>
                <a:pPr>
                  <a:defRPr/>
                </a:pPr>
                <a:r>
                  <a:rPr lang="en-US"/>
                  <a:t>Cumulative CA PHZEV/BEV/FCEV</a:t>
                </a:r>
              </a:p>
            </c:rich>
          </c:tx>
          <c:layout/>
          <c:overlay val="0"/>
        </c:title>
        <c:numFmt formatCode="#,##0" sourceLinked="1"/>
        <c:majorTickMark val="out"/>
        <c:minorTickMark val="none"/>
        <c:tickLblPos val="nextTo"/>
        <c:crossAx val="135728128"/>
        <c:crosses val="max"/>
        <c:crossBetween val="between"/>
      </c:valAx>
      <c:catAx>
        <c:axId val="135728128"/>
        <c:scaling>
          <c:orientation val="minMax"/>
        </c:scaling>
        <c:delete val="1"/>
        <c:axPos val="b"/>
        <c:numFmt formatCode="General" sourceLinked="1"/>
        <c:majorTickMark val="out"/>
        <c:minorTickMark val="none"/>
        <c:tickLblPos val="nextTo"/>
        <c:crossAx val="135726208"/>
        <c:crosses val="autoZero"/>
        <c:auto val="1"/>
        <c:lblAlgn val="ctr"/>
        <c:lblOffset val="100"/>
        <c:noMultiLvlLbl val="0"/>
      </c:catAx>
      <c:spPr>
        <a:ln>
          <a:solidFill>
            <a:schemeClr val="tx1"/>
          </a:solidFill>
        </a:ln>
      </c:spPr>
    </c:plotArea>
    <c:legend>
      <c:legendPos val="r"/>
      <c:layout>
        <c:manualLayout>
          <c:xMode val="edge"/>
          <c:yMode val="edge"/>
          <c:x val="0.12063574748814822"/>
          <c:y val="0.16366776295309615"/>
          <c:w val="0.23889942413949528"/>
          <c:h val="0.25948496354988637"/>
        </c:manualLayout>
      </c:layout>
      <c:overlay val="0"/>
      <c:spPr>
        <a:solidFill>
          <a:schemeClr val="bg1"/>
        </a:solidFill>
        <a:ln>
          <a:solidFill>
            <a:schemeClr val="tx1"/>
          </a:solidFill>
        </a:ln>
      </c:sp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2</a:t>
            </a:r>
          </a:p>
          <a:p>
            <a:pPr>
              <a:defRPr sz="1000"/>
            </a:pPr>
            <a:r>
              <a:rPr lang="en-US" sz="1000"/>
              <a:t>CA + S177 Vehicle Numbers</a:t>
            </a:r>
          </a:p>
        </c:rich>
      </c:tx>
      <c:layout>
        <c:manualLayout>
          <c:xMode val="edge"/>
          <c:yMode val="edge"/>
          <c:x val="0.34891110160310546"/>
          <c:y val="2.2561379832672725E-2"/>
        </c:manualLayout>
      </c:layout>
      <c:overlay val="0"/>
    </c:title>
    <c:autoTitleDeleted val="0"/>
    <c:plotArea>
      <c:layout>
        <c:manualLayout>
          <c:layoutTarget val="inner"/>
          <c:xMode val="edge"/>
          <c:yMode val="edge"/>
          <c:x val="0.10740897179686006"/>
          <c:y val="0.14016970782120175"/>
          <c:w val="0.7914592490410951"/>
          <c:h val="0.77068371939622404"/>
        </c:manualLayout>
      </c:layout>
      <c:barChart>
        <c:barDir val="col"/>
        <c:grouping val="stacked"/>
        <c:varyColors val="0"/>
        <c:ser>
          <c:idx val="1"/>
          <c:order val="0"/>
          <c:tx>
            <c:strRef>
              <c:f>Scenarios!$A$133</c:f>
              <c:strCache>
                <c:ptCount val="1"/>
                <c:pt idx="0">
                  <c:v>Annual PHEVs</c:v>
                </c:pt>
              </c:strCache>
            </c:strRef>
          </c:tx>
          <c:invertIfNegative val="0"/>
          <c:cat>
            <c:strRef>
              <c:f>Scenarios!$C$131:$J$131</c:f>
              <c:strCache>
                <c:ptCount val="8"/>
                <c:pt idx="0">
                  <c:v>2018</c:v>
                </c:pt>
                <c:pt idx="1">
                  <c:v>2019</c:v>
                </c:pt>
                <c:pt idx="2">
                  <c:v>2020</c:v>
                </c:pt>
                <c:pt idx="3">
                  <c:v>2021</c:v>
                </c:pt>
                <c:pt idx="4">
                  <c:v>2022</c:v>
                </c:pt>
                <c:pt idx="5">
                  <c:v>2023</c:v>
                </c:pt>
                <c:pt idx="6">
                  <c:v>2024</c:v>
                </c:pt>
                <c:pt idx="7">
                  <c:v>2025</c:v>
                </c:pt>
              </c:strCache>
            </c:strRef>
          </c:cat>
          <c:val>
            <c:numRef>
              <c:f>Scenarios!$C$133:$J$133</c:f>
              <c:numCache>
                <c:formatCode>#,##0</c:formatCode>
                <c:ptCount val="8"/>
                <c:pt idx="0">
                  <c:v>76163.823627958365</c:v>
                </c:pt>
                <c:pt idx="1">
                  <c:v>97110.849114400757</c:v>
                </c:pt>
                <c:pt idx="2">
                  <c:v>141835.57747268138</c:v>
                </c:pt>
                <c:pt idx="3">
                  <c:v>165459.92173259362</c:v>
                </c:pt>
                <c:pt idx="4">
                  <c:v>185105.14711871758</c:v>
                </c:pt>
                <c:pt idx="5">
                  <c:v>201997.64659786818</c:v>
                </c:pt>
                <c:pt idx="6">
                  <c:v>217589.99772348802</c:v>
                </c:pt>
                <c:pt idx="7">
                  <c:v>233346.55459406052</c:v>
                </c:pt>
              </c:numCache>
            </c:numRef>
          </c:val>
          <c:extLst>
            <c:ext xmlns:c16="http://schemas.microsoft.com/office/drawing/2014/chart" uri="{C3380CC4-5D6E-409C-BE32-E72D297353CC}">
              <c16:uniqueId val="{00000000-8A0D-4CA9-9476-FADD01A1FCA9}"/>
            </c:ext>
          </c:extLst>
        </c:ser>
        <c:ser>
          <c:idx val="0"/>
          <c:order val="1"/>
          <c:tx>
            <c:strRef>
              <c:f>Scenarios!$A$132</c:f>
              <c:strCache>
                <c:ptCount val="1"/>
                <c:pt idx="0">
                  <c:v>Annual BEVs</c:v>
                </c:pt>
              </c:strCache>
            </c:strRef>
          </c:tx>
          <c:invertIfNegative val="0"/>
          <c:cat>
            <c:strRef>
              <c:f>Scenarios!$C$131:$J$131</c:f>
              <c:strCache>
                <c:ptCount val="8"/>
                <c:pt idx="0">
                  <c:v>2018</c:v>
                </c:pt>
                <c:pt idx="1">
                  <c:v>2019</c:v>
                </c:pt>
                <c:pt idx="2">
                  <c:v>2020</c:v>
                </c:pt>
                <c:pt idx="3">
                  <c:v>2021</c:v>
                </c:pt>
                <c:pt idx="4">
                  <c:v>2022</c:v>
                </c:pt>
                <c:pt idx="5">
                  <c:v>2023</c:v>
                </c:pt>
                <c:pt idx="6">
                  <c:v>2024</c:v>
                </c:pt>
                <c:pt idx="7">
                  <c:v>2025</c:v>
                </c:pt>
              </c:strCache>
            </c:strRef>
          </c:cat>
          <c:val>
            <c:numRef>
              <c:f>Scenarios!$C$132:$J$132</c:f>
              <c:numCache>
                <c:formatCode>#,##0</c:formatCode>
                <c:ptCount val="8"/>
                <c:pt idx="0">
                  <c:v>8078.8502407341621</c:v>
                </c:pt>
                <c:pt idx="1">
                  <c:v>18078.931491684969</c:v>
                </c:pt>
                <c:pt idx="2">
                  <c:v>30450.32879993588</c:v>
                </c:pt>
                <c:pt idx="3">
                  <c:v>44564.092763987297</c:v>
                </c:pt>
                <c:pt idx="4">
                  <c:v>49705.218120667225</c:v>
                </c:pt>
                <c:pt idx="5">
                  <c:v>57070.773097891899</c:v>
                </c:pt>
                <c:pt idx="6">
                  <c:v>63685.873207769924</c:v>
                </c:pt>
                <c:pt idx="7">
                  <c:v>69966.731736617963</c:v>
                </c:pt>
              </c:numCache>
            </c:numRef>
          </c:val>
          <c:extLst>
            <c:ext xmlns:c16="http://schemas.microsoft.com/office/drawing/2014/chart" uri="{C3380CC4-5D6E-409C-BE32-E72D297353CC}">
              <c16:uniqueId val="{00000001-8A0D-4CA9-9476-FADD01A1FCA9}"/>
            </c:ext>
          </c:extLst>
        </c:ser>
        <c:ser>
          <c:idx val="3"/>
          <c:order val="2"/>
          <c:tx>
            <c:strRef>
              <c:f>Scenarios!$A$124</c:f>
              <c:strCache>
                <c:ptCount val="1"/>
                <c:pt idx="0">
                  <c:v>Annual FCEVs</c:v>
                </c:pt>
              </c:strCache>
            </c:strRef>
          </c:tx>
          <c:spPr>
            <a:solidFill>
              <a:schemeClr val="accent3"/>
            </a:solidFill>
          </c:spPr>
          <c:invertIfNegative val="0"/>
          <c:val>
            <c:numRef>
              <c:f>Scenarios!$C$124:$J$124</c:f>
              <c:numCache>
                <c:formatCode>#,##0</c:formatCode>
                <c:ptCount val="8"/>
                <c:pt idx="0">
                  <c:v>1748.1428282942536</c:v>
                </c:pt>
                <c:pt idx="1">
                  <c:v>3574.3863879013456</c:v>
                </c:pt>
                <c:pt idx="2">
                  <c:v>5528.5249787219345</c:v>
                </c:pt>
                <c:pt idx="3">
                  <c:v>7613.5889332505058</c:v>
                </c:pt>
                <c:pt idx="4">
                  <c:v>13410.178672765185</c:v>
                </c:pt>
                <c:pt idx="5">
                  <c:v>16046.510520821466</c:v>
                </c:pt>
                <c:pt idx="6">
                  <c:v>18666.121207732402</c:v>
                </c:pt>
                <c:pt idx="7">
                  <c:v>21382.648002419755</c:v>
                </c:pt>
              </c:numCache>
            </c:numRef>
          </c:val>
          <c:extLst>
            <c:ext xmlns:c16="http://schemas.microsoft.com/office/drawing/2014/chart" uri="{C3380CC4-5D6E-409C-BE32-E72D297353CC}">
              <c16:uniqueId val="{00000002-8A0D-4CA9-9476-FADD01A1FCA9}"/>
            </c:ext>
          </c:extLst>
        </c:ser>
        <c:dLbls>
          <c:showLegendKey val="0"/>
          <c:showVal val="0"/>
          <c:showCatName val="0"/>
          <c:showSerName val="0"/>
          <c:showPercent val="0"/>
          <c:showBubbleSize val="0"/>
        </c:dLbls>
        <c:gapWidth val="150"/>
        <c:overlap val="100"/>
        <c:axId val="135770496"/>
        <c:axId val="135772032"/>
      </c:barChart>
      <c:lineChart>
        <c:grouping val="standard"/>
        <c:varyColors val="0"/>
        <c:ser>
          <c:idx val="2"/>
          <c:order val="3"/>
          <c:tx>
            <c:strRef>
              <c:f>Scenarios!$A$136</c:f>
              <c:strCache>
                <c:ptCount val="1"/>
                <c:pt idx="0">
                  <c:v>cumulative CA + S177 (2018-2025)</c:v>
                </c:pt>
              </c:strCache>
            </c:strRef>
          </c:tx>
          <c:spPr>
            <a:ln>
              <a:solidFill>
                <a:schemeClr val="tx1"/>
              </a:solidFill>
            </a:ln>
          </c:spPr>
          <c:marker>
            <c:symbol val="none"/>
          </c:marker>
          <c:cat>
            <c:strRef>
              <c:f>Scenarios!$C$131:$J$131</c:f>
              <c:strCache>
                <c:ptCount val="8"/>
                <c:pt idx="0">
                  <c:v>2018</c:v>
                </c:pt>
                <c:pt idx="1">
                  <c:v>2019</c:v>
                </c:pt>
                <c:pt idx="2">
                  <c:v>2020</c:v>
                </c:pt>
                <c:pt idx="3">
                  <c:v>2021</c:v>
                </c:pt>
                <c:pt idx="4">
                  <c:v>2022</c:v>
                </c:pt>
                <c:pt idx="5">
                  <c:v>2023</c:v>
                </c:pt>
                <c:pt idx="6">
                  <c:v>2024</c:v>
                </c:pt>
                <c:pt idx="7">
                  <c:v>2025</c:v>
                </c:pt>
              </c:strCache>
            </c:strRef>
          </c:cat>
          <c:val>
            <c:numRef>
              <c:f>Scenarios!$C$136:$J$136</c:f>
              <c:numCache>
                <c:formatCode>#,##0</c:formatCode>
                <c:ptCount val="8"/>
                <c:pt idx="0">
                  <c:v>316340.42610575334</c:v>
                </c:pt>
                <c:pt idx="1">
                  <c:v>435104.59309974039</c:v>
                </c:pt>
                <c:pt idx="2">
                  <c:v>612919.0243510796</c:v>
                </c:pt>
                <c:pt idx="3">
                  <c:v>830556.62778091105</c:v>
                </c:pt>
                <c:pt idx="4">
                  <c:v>1078777.171693061</c:v>
                </c:pt>
                <c:pt idx="5">
                  <c:v>1353892.1019096423</c:v>
                </c:pt>
                <c:pt idx="6">
                  <c:v>1653834.094048633</c:v>
                </c:pt>
                <c:pt idx="7">
                  <c:v>1978530.0283817307</c:v>
                </c:pt>
              </c:numCache>
            </c:numRef>
          </c:val>
          <c:smooth val="0"/>
          <c:extLst>
            <c:ext xmlns:c16="http://schemas.microsoft.com/office/drawing/2014/chart" uri="{C3380CC4-5D6E-409C-BE32-E72D297353CC}">
              <c16:uniqueId val="{00000003-8A0D-4CA9-9476-FADD01A1FCA9}"/>
            </c:ext>
          </c:extLst>
        </c:ser>
        <c:dLbls>
          <c:showLegendKey val="0"/>
          <c:showVal val="0"/>
          <c:showCatName val="0"/>
          <c:showSerName val="0"/>
          <c:showPercent val="0"/>
          <c:showBubbleSize val="0"/>
        </c:dLbls>
        <c:marker val="1"/>
        <c:smooth val="0"/>
        <c:axId val="135788416"/>
        <c:axId val="135786496"/>
      </c:lineChart>
      <c:catAx>
        <c:axId val="135770496"/>
        <c:scaling>
          <c:orientation val="minMax"/>
        </c:scaling>
        <c:delete val="0"/>
        <c:axPos val="b"/>
        <c:numFmt formatCode="General" sourceLinked="1"/>
        <c:majorTickMark val="out"/>
        <c:minorTickMark val="none"/>
        <c:tickLblPos val="nextTo"/>
        <c:crossAx val="135772032"/>
        <c:crosses val="autoZero"/>
        <c:auto val="1"/>
        <c:lblAlgn val="ctr"/>
        <c:lblOffset val="100"/>
        <c:noMultiLvlLbl val="0"/>
      </c:catAx>
      <c:valAx>
        <c:axId val="135772032"/>
        <c:scaling>
          <c:orientation val="minMax"/>
        </c:scaling>
        <c:delete val="0"/>
        <c:axPos val="l"/>
        <c:title>
          <c:tx>
            <c:rich>
              <a:bodyPr rot="-5400000" vert="horz"/>
              <a:lstStyle/>
              <a:p>
                <a:pPr>
                  <a:defRPr/>
                </a:pPr>
                <a:r>
                  <a:rPr lang="en-US"/>
                  <a:t>Annual CA +</a:t>
                </a:r>
                <a:r>
                  <a:rPr lang="en-US" baseline="0"/>
                  <a:t> S177 </a:t>
                </a:r>
                <a:r>
                  <a:rPr lang="en-US"/>
                  <a:t>PHEV/BEV/FCEV</a:t>
                </a:r>
              </a:p>
            </c:rich>
          </c:tx>
          <c:layout/>
          <c:overlay val="0"/>
        </c:title>
        <c:numFmt formatCode="#,##0" sourceLinked="1"/>
        <c:majorTickMark val="out"/>
        <c:minorTickMark val="none"/>
        <c:tickLblPos val="nextTo"/>
        <c:crossAx val="135770496"/>
        <c:crosses val="autoZero"/>
        <c:crossBetween val="between"/>
      </c:valAx>
      <c:valAx>
        <c:axId val="135786496"/>
        <c:scaling>
          <c:orientation val="minMax"/>
        </c:scaling>
        <c:delete val="0"/>
        <c:axPos val="r"/>
        <c:title>
          <c:tx>
            <c:rich>
              <a:bodyPr rot="-5400000" vert="horz"/>
              <a:lstStyle/>
              <a:p>
                <a:pPr>
                  <a:defRPr/>
                </a:pPr>
                <a:r>
                  <a:rPr lang="en-US"/>
                  <a:t>Cumulative</a:t>
                </a:r>
                <a:r>
                  <a:rPr lang="en-US" baseline="0"/>
                  <a:t> CA +  S177 PHEV/BEV/FCEVs</a:t>
                </a:r>
                <a:endParaRPr lang="en-US"/>
              </a:p>
            </c:rich>
          </c:tx>
          <c:layout/>
          <c:overlay val="0"/>
        </c:title>
        <c:numFmt formatCode="#,##0" sourceLinked="1"/>
        <c:majorTickMark val="out"/>
        <c:minorTickMark val="none"/>
        <c:tickLblPos val="nextTo"/>
        <c:crossAx val="135788416"/>
        <c:crosses val="max"/>
        <c:crossBetween val="between"/>
      </c:valAx>
      <c:catAx>
        <c:axId val="135788416"/>
        <c:scaling>
          <c:orientation val="minMax"/>
        </c:scaling>
        <c:delete val="1"/>
        <c:axPos val="b"/>
        <c:numFmt formatCode="General" sourceLinked="1"/>
        <c:majorTickMark val="out"/>
        <c:minorTickMark val="none"/>
        <c:tickLblPos val="nextTo"/>
        <c:crossAx val="135786496"/>
        <c:crosses val="autoZero"/>
        <c:auto val="1"/>
        <c:lblAlgn val="ctr"/>
        <c:lblOffset val="100"/>
        <c:noMultiLvlLbl val="0"/>
      </c:catAx>
      <c:spPr>
        <a:ln>
          <a:solidFill>
            <a:schemeClr val="tx1"/>
          </a:solidFill>
        </a:ln>
      </c:spPr>
    </c:plotArea>
    <c:legend>
      <c:legendPos val="r"/>
      <c:layout>
        <c:manualLayout>
          <c:xMode val="edge"/>
          <c:yMode val="edge"/>
          <c:x val="0.1057659036293435"/>
          <c:y val="0.15530949495559007"/>
          <c:w val="0.28945824712246071"/>
          <c:h val="0.24614804139270494"/>
        </c:manualLayout>
      </c:layout>
      <c:overlay val="0"/>
      <c:spPr>
        <a:solidFill>
          <a:schemeClr val="bg1"/>
        </a:solidFill>
        <a:ln>
          <a:solidFill>
            <a:schemeClr val="tx1"/>
          </a:solidFill>
        </a:ln>
      </c:sp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3</a:t>
            </a:r>
          </a:p>
          <a:p>
            <a:pPr>
              <a:defRPr sz="1000"/>
            </a:pPr>
            <a:r>
              <a:rPr lang="en-US" sz="1000"/>
              <a:t>CA Vehicle Numbers</a:t>
            </a:r>
          </a:p>
        </c:rich>
      </c:tx>
      <c:layout/>
      <c:overlay val="0"/>
    </c:title>
    <c:autoTitleDeleted val="0"/>
    <c:plotArea>
      <c:layout>
        <c:manualLayout>
          <c:layoutTarget val="inner"/>
          <c:xMode val="edge"/>
          <c:yMode val="edge"/>
          <c:x val="0.10038596938419107"/>
          <c:y val="0.14186213740146847"/>
          <c:w val="0.79769738483431429"/>
          <c:h val="0.75427500675135151"/>
        </c:manualLayout>
      </c:layout>
      <c:barChart>
        <c:barDir val="col"/>
        <c:grouping val="stacked"/>
        <c:varyColors val="0"/>
        <c:ser>
          <c:idx val="3"/>
          <c:order val="0"/>
          <c:tx>
            <c:strRef>
              <c:f>Scenarios!$A$170</c:f>
              <c:strCache>
                <c:ptCount val="1"/>
                <c:pt idx="0">
                  <c:v>Annual PHEVs</c:v>
                </c:pt>
              </c:strCache>
            </c:strRef>
          </c:tx>
          <c:spPr>
            <a:solidFill>
              <a:schemeClr val="accent2"/>
            </a:solidFill>
          </c:spPr>
          <c:invertIfNegative val="0"/>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Scenarios!$C$170:$J$170</c:f>
              <c:numCache>
                <c:formatCode>#,##0</c:formatCode>
                <c:ptCount val="8"/>
                <c:pt idx="0">
                  <c:v>44262.617770044482</c:v>
                </c:pt>
                <c:pt idx="1">
                  <c:v>53566.548635088853</c:v>
                </c:pt>
                <c:pt idx="2">
                  <c:v>64964.669598552944</c:v>
                </c:pt>
                <c:pt idx="3">
                  <c:v>73764.074941543193</c:v>
                </c:pt>
                <c:pt idx="4">
                  <c:v>76374.236205503345</c:v>
                </c:pt>
                <c:pt idx="5">
                  <c:v>82830.569212675269</c:v>
                </c:pt>
                <c:pt idx="6">
                  <c:v>88777.567185231164</c:v>
                </c:pt>
                <c:pt idx="7">
                  <c:v>94835.163438526113</c:v>
                </c:pt>
              </c:numCache>
            </c:numRef>
          </c:val>
          <c:extLst>
            <c:ext xmlns:c16="http://schemas.microsoft.com/office/drawing/2014/chart" uri="{C3380CC4-5D6E-409C-BE32-E72D297353CC}">
              <c16:uniqueId val="{00000000-1833-4BD2-937B-B270818046B3}"/>
            </c:ext>
          </c:extLst>
        </c:ser>
        <c:ser>
          <c:idx val="1"/>
          <c:order val="1"/>
          <c:tx>
            <c:strRef>
              <c:f>Scenarios!$A$168</c:f>
              <c:strCache>
                <c:ptCount val="1"/>
                <c:pt idx="0">
                  <c:v>Annual BEVs</c:v>
                </c:pt>
              </c:strCache>
            </c:strRef>
          </c:tx>
          <c:spPr>
            <a:solidFill>
              <a:schemeClr val="accent1"/>
            </a:solidFill>
          </c:spPr>
          <c:invertIfNegative val="0"/>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Scenarios!$C$168:$J$168</c:f>
              <c:numCache>
                <c:formatCode>#,##0</c:formatCode>
                <c:ptCount val="8"/>
                <c:pt idx="0">
                  <c:v>12435.553722447843</c:v>
                </c:pt>
                <c:pt idx="1">
                  <c:v>22050.410540418114</c:v>
                </c:pt>
                <c:pt idx="2">
                  <c:v>31567.780005408938</c:v>
                </c:pt>
                <c:pt idx="3">
                  <c:v>39962.196151338139</c:v>
                </c:pt>
                <c:pt idx="4">
                  <c:v>43957.976419633451</c:v>
                </c:pt>
                <c:pt idx="5">
                  <c:v>50031.566210810641</c:v>
                </c:pt>
                <c:pt idx="6">
                  <c:v>55479.662920659881</c:v>
                </c:pt>
                <c:pt idx="7">
                  <c:v>60661.848120943163</c:v>
                </c:pt>
              </c:numCache>
            </c:numRef>
          </c:val>
          <c:extLst>
            <c:ext xmlns:c16="http://schemas.microsoft.com/office/drawing/2014/chart" uri="{C3380CC4-5D6E-409C-BE32-E72D297353CC}">
              <c16:uniqueId val="{00000001-1833-4BD2-937B-B270818046B3}"/>
            </c:ext>
          </c:extLst>
        </c:ser>
        <c:ser>
          <c:idx val="2"/>
          <c:order val="2"/>
          <c:tx>
            <c:strRef>
              <c:f>Scenarios!$A$169</c:f>
              <c:strCache>
                <c:ptCount val="1"/>
                <c:pt idx="0">
                  <c:v>Annual FCEVs</c:v>
                </c:pt>
              </c:strCache>
            </c:strRef>
          </c:tx>
          <c:invertIfNegative val="0"/>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Scenarios!$C$169:$J$169</c:f>
              <c:numCache>
                <c:formatCode>#,##0</c:formatCode>
                <c:ptCount val="8"/>
                <c:pt idx="0">
                  <c:v>2368.3782706994598</c:v>
                </c:pt>
                <c:pt idx="1">
                  <c:v>4842.5671605160942</c:v>
                </c:pt>
                <c:pt idx="2">
                  <c:v>7306.6044092032489</c:v>
                </c:pt>
                <c:pt idx="3">
                  <c:v>9826.629336292719</c:v>
                </c:pt>
                <c:pt idx="4">
                  <c:v>16214.947336704085</c:v>
                </c:pt>
                <c:pt idx="5">
                  <c:v>19402.673848143153</c:v>
                </c:pt>
                <c:pt idx="6">
                  <c:v>22570.181930432507</c:v>
                </c:pt>
                <c:pt idx="7">
                  <c:v>25854.876339766444</c:v>
                </c:pt>
              </c:numCache>
            </c:numRef>
          </c:val>
          <c:extLst>
            <c:ext xmlns:c16="http://schemas.microsoft.com/office/drawing/2014/chart" uri="{C3380CC4-5D6E-409C-BE32-E72D297353CC}">
              <c16:uniqueId val="{00000002-1833-4BD2-937B-B270818046B3}"/>
            </c:ext>
          </c:extLst>
        </c:ser>
        <c:dLbls>
          <c:showLegendKey val="0"/>
          <c:showVal val="0"/>
          <c:showCatName val="0"/>
          <c:showSerName val="0"/>
          <c:showPercent val="0"/>
          <c:showBubbleSize val="0"/>
        </c:dLbls>
        <c:gapWidth val="150"/>
        <c:overlap val="100"/>
        <c:axId val="135808896"/>
        <c:axId val="135810432"/>
      </c:barChart>
      <c:lineChart>
        <c:grouping val="standard"/>
        <c:varyColors val="0"/>
        <c:ser>
          <c:idx val="0"/>
          <c:order val="3"/>
          <c:tx>
            <c:strRef>
              <c:f>Scenarios!$A$174</c:f>
              <c:strCache>
                <c:ptCount val="1"/>
                <c:pt idx="0">
                  <c:v>cumulative CA (2018-2025)</c:v>
                </c:pt>
              </c:strCache>
            </c:strRef>
          </c:tx>
          <c:spPr>
            <a:ln>
              <a:solidFill>
                <a:schemeClr val="tx1"/>
              </a:solidFill>
            </a:ln>
          </c:spPr>
          <c:marker>
            <c:symbol val="none"/>
          </c:marker>
          <c:cat>
            <c:strRef>
              <c:f>Scenarios!$C$167:$J$167</c:f>
              <c:strCache>
                <c:ptCount val="8"/>
                <c:pt idx="0">
                  <c:v>2018</c:v>
                </c:pt>
                <c:pt idx="1">
                  <c:v>2019</c:v>
                </c:pt>
                <c:pt idx="2">
                  <c:v>2020</c:v>
                </c:pt>
                <c:pt idx="3">
                  <c:v>2021</c:v>
                </c:pt>
                <c:pt idx="4">
                  <c:v>2022</c:v>
                </c:pt>
                <c:pt idx="5">
                  <c:v>2023</c:v>
                </c:pt>
                <c:pt idx="6">
                  <c:v>2024</c:v>
                </c:pt>
                <c:pt idx="7">
                  <c:v>2025</c:v>
                </c:pt>
              </c:strCache>
            </c:strRef>
          </c:cat>
          <c:val>
            <c:numRef>
              <c:f>Scenarios!$C$174:$J$174</c:f>
              <c:numCache>
                <c:formatCode>#,##0</c:formatCode>
                <c:ptCount val="8"/>
                <c:pt idx="0">
                  <c:v>66522.715406861389</c:v>
                </c:pt>
                <c:pt idx="1">
                  <c:v>146982.24174288445</c:v>
                </c:pt>
                <c:pt idx="2">
                  <c:v>250821.2957560496</c:v>
                </c:pt>
                <c:pt idx="3">
                  <c:v>374374.19618522364</c:v>
                </c:pt>
                <c:pt idx="4">
                  <c:v>510921.35614706448</c:v>
                </c:pt>
                <c:pt idx="5">
                  <c:v>663186.16541869356</c:v>
                </c:pt>
                <c:pt idx="6">
                  <c:v>830013.57745501713</c:v>
                </c:pt>
                <c:pt idx="7">
                  <c:v>1011365.4653542528</c:v>
                </c:pt>
              </c:numCache>
            </c:numRef>
          </c:val>
          <c:smooth val="0"/>
          <c:extLst>
            <c:ext xmlns:c16="http://schemas.microsoft.com/office/drawing/2014/chart" uri="{C3380CC4-5D6E-409C-BE32-E72D297353CC}">
              <c16:uniqueId val="{00000003-1833-4BD2-937B-B270818046B3}"/>
            </c:ext>
          </c:extLst>
        </c:ser>
        <c:dLbls>
          <c:showLegendKey val="0"/>
          <c:showVal val="0"/>
          <c:showCatName val="0"/>
          <c:showSerName val="0"/>
          <c:showPercent val="0"/>
          <c:showBubbleSize val="0"/>
        </c:dLbls>
        <c:marker val="1"/>
        <c:smooth val="0"/>
        <c:axId val="135826816"/>
        <c:axId val="135824896"/>
      </c:lineChart>
      <c:catAx>
        <c:axId val="135808896"/>
        <c:scaling>
          <c:orientation val="minMax"/>
        </c:scaling>
        <c:delete val="0"/>
        <c:axPos val="b"/>
        <c:numFmt formatCode="General" sourceLinked="1"/>
        <c:majorTickMark val="out"/>
        <c:minorTickMark val="none"/>
        <c:tickLblPos val="nextTo"/>
        <c:crossAx val="135810432"/>
        <c:crosses val="autoZero"/>
        <c:auto val="1"/>
        <c:lblAlgn val="ctr"/>
        <c:lblOffset val="100"/>
        <c:noMultiLvlLbl val="0"/>
      </c:catAx>
      <c:valAx>
        <c:axId val="135810432"/>
        <c:scaling>
          <c:orientation val="minMax"/>
        </c:scaling>
        <c:delete val="0"/>
        <c:axPos val="l"/>
        <c:title>
          <c:tx>
            <c:rich>
              <a:bodyPr rot="-5400000" vert="horz"/>
              <a:lstStyle/>
              <a:p>
                <a:pPr>
                  <a:defRPr/>
                </a:pPr>
                <a:r>
                  <a:rPr lang="en-US"/>
                  <a:t>Annual CA PHEV/BEV/FCEV</a:t>
                </a:r>
              </a:p>
            </c:rich>
          </c:tx>
          <c:layout>
            <c:manualLayout>
              <c:xMode val="edge"/>
              <c:yMode val="edge"/>
              <c:x val="1.1650076854581894E-2"/>
              <c:y val="0.29468471188288825"/>
            </c:manualLayout>
          </c:layout>
          <c:overlay val="0"/>
        </c:title>
        <c:numFmt formatCode="#,##0" sourceLinked="1"/>
        <c:majorTickMark val="out"/>
        <c:minorTickMark val="none"/>
        <c:tickLblPos val="nextTo"/>
        <c:crossAx val="135808896"/>
        <c:crosses val="autoZero"/>
        <c:crossBetween val="between"/>
      </c:valAx>
      <c:valAx>
        <c:axId val="135824896"/>
        <c:scaling>
          <c:orientation val="minMax"/>
        </c:scaling>
        <c:delete val="0"/>
        <c:axPos val="r"/>
        <c:title>
          <c:tx>
            <c:rich>
              <a:bodyPr rot="-5400000" vert="horz"/>
              <a:lstStyle/>
              <a:p>
                <a:pPr>
                  <a:defRPr/>
                </a:pPr>
                <a:r>
                  <a:rPr lang="en-US"/>
                  <a:t>Cumulative CA</a:t>
                </a:r>
                <a:r>
                  <a:rPr lang="en-US" baseline="0"/>
                  <a:t> PHEV/BEV/FCEV</a:t>
                </a:r>
                <a:endParaRPr lang="en-US"/>
              </a:p>
            </c:rich>
          </c:tx>
          <c:layout/>
          <c:overlay val="0"/>
        </c:title>
        <c:numFmt formatCode="#,##0" sourceLinked="1"/>
        <c:majorTickMark val="out"/>
        <c:minorTickMark val="none"/>
        <c:tickLblPos val="nextTo"/>
        <c:crossAx val="135826816"/>
        <c:crosses val="max"/>
        <c:crossBetween val="between"/>
      </c:valAx>
      <c:catAx>
        <c:axId val="135826816"/>
        <c:scaling>
          <c:orientation val="minMax"/>
        </c:scaling>
        <c:delete val="1"/>
        <c:axPos val="b"/>
        <c:numFmt formatCode="General" sourceLinked="1"/>
        <c:majorTickMark val="out"/>
        <c:minorTickMark val="none"/>
        <c:tickLblPos val="nextTo"/>
        <c:crossAx val="135824896"/>
        <c:crosses val="autoZero"/>
        <c:auto val="1"/>
        <c:lblAlgn val="ctr"/>
        <c:lblOffset val="100"/>
        <c:noMultiLvlLbl val="0"/>
      </c:catAx>
      <c:spPr>
        <a:solidFill>
          <a:schemeClr val="bg1"/>
        </a:solidFill>
        <a:ln>
          <a:solidFill>
            <a:schemeClr val="tx1"/>
          </a:solidFill>
        </a:ln>
      </c:spPr>
    </c:plotArea>
    <c:legend>
      <c:legendPos val="r"/>
      <c:layout>
        <c:manualLayout>
          <c:xMode val="edge"/>
          <c:yMode val="edge"/>
          <c:x val="0.12056555430571178"/>
          <c:y val="0.17702380952380953"/>
          <c:w val="0.24139029496312961"/>
          <c:h val="0.23992214118580754"/>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3</a:t>
            </a:r>
          </a:p>
          <a:p>
            <a:pPr>
              <a:defRPr sz="1000"/>
            </a:pPr>
            <a:r>
              <a:rPr lang="en-US" sz="1000"/>
              <a:t>CA + S177 Vehicle Numbers</a:t>
            </a:r>
          </a:p>
        </c:rich>
      </c:tx>
      <c:layout/>
      <c:overlay val="0"/>
    </c:title>
    <c:autoTitleDeleted val="0"/>
    <c:plotArea>
      <c:layout>
        <c:manualLayout>
          <c:layoutTarget val="inner"/>
          <c:xMode val="edge"/>
          <c:yMode val="edge"/>
          <c:x val="9.2938233101711037E-2"/>
          <c:y val="0.14829840110565889"/>
          <c:w val="0.80496488537409427"/>
          <c:h val="0.75852923275894857"/>
        </c:manualLayout>
      </c:layout>
      <c:barChart>
        <c:barDir val="col"/>
        <c:grouping val="stacked"/>
        <c:varyColors val="0"/>
        <c:ser>
          <c:idx val="1"/>
          <c:order val="1"/>
          <c:tx>
            <c:strRef>
              <c:f>Scenarios!$A$178</c:f>
              <c:strCache>
                <c:ptCount val="1"/>
                <c:pt idx="0">
                  <c:v>Annual PHEVs</c:v>
                </c:pt>
              </c:strCache>
            </c:strRef>
          </c:tx>
          <c:invertIfNegative val="0"/>
          <c:cat>
            <c:strRef>
              <c:f>Scenarios!$C$176:$J$176</c:f>
              <c:strCache>
                <c:ptCount val="8"/>
                <c:pt idx="0">
                  <c:v>2018</c:v>
                </c:pt>
                <c:pt idx="1">
                  <c:v>2019</c:v>
                </c:pt>
                <c:pt idx="2">
                  <c:v>2020</c:v>
                </c:pt>
                <c:pt idx="3">
                  <c:v>2021</c:v>
                </c:pt>
                <c:pt idx="4">
                  <c:v>2022</c:v>
                </c:pt>
                <c:pt idx="5">
                  <c:v>2023</c:v>
                </c:pt>
                <c:pt idx="6">
                  <c:v>2024</c:v>
                </c:pt>
                <c:pt idx="7">
                  <c:v>2025</c:v>
                </c:pt>
              </c:strCache>
            </c:strRef>
          </c:cat>
          <c:val>
            <c:numRef>
              <c:f>Scenarios!$C$178:$J$178</c:f>
              <c:numCache>
                <c:formatCode>#,##0</c:formatCode>
                <c:ptCount val="8"/>
                <c:pt idx="0">
                  <c:v>98544.631847278419</c:v>
                </c:pt>
                <c:pt idx="1">
                  <c:v>125749.71542945257</c:v>
                </c:pt>
                <c:pt idx="2">
                  <c:v>153636.21387130613</c:v>
                </c:pt>
                <c:pt idx="3">
                  <c:v>174752.41324153991</c:v>
                </c:pt>
                <c:pt idx="4">
                  <c:v>180875.52774293779</c:v>
                </c:pt>
                <c:pt idx="5">
                  <c:v>196384.19200120337</c:v>
                </c:pt>
                <c:pt idx="6">
                  <c:v>210673.38752301995</c:v>
                </c:pt>
                <c:pt idx="7">
                  <c:v>225215.46105462831</c:v>
                </c:pt>
              </c:numCache>
            </c:numRef>
          </c:val>
          <c:extLst>
            <c:ext xmlns:c16="http://schemas.microsoft.com/office/drawing/2014/chart" uri="{C3380CC4-5D6E-409C-BE32-E72D297353CC}">
              <c16:uniqueId val="{00000000-206F-49B0-AB59-995277EAD7C6}"/>
            </c:ext>
          </c:extLst>
        </c:ser>
        <c:ser>
          <c:idx val="0"/>
          <c:order val="2"/>
          <c:tx>
            <c:strRef>
              <c:f>Scenarios!$A$177</c:f>
              <c:strCache>
                <c:ptCount val="1"/>
                <c:pt idx="0">
                  <c:v>Annual BEVs</c:v>
                </c:pt>
              </c:strCache>
            </c:strRef>
          </c:tx>
          <c:invertIfNegative val="0"/>
          <c:cat>
            <c:strRef>
              <c:f>Scenarios!$C$176:$J$176</c:f>
              <c:strCache>
                <c:ptCount val="8"/>
                <c:pt idx="0">
                  <c:v>2018</c:v>
                </c:pt>
                <c:pt idx="1">
                  <c:v>2019</c:v>
                </c:pt>
                <c:pt idx="2">
                  <c:v>2020</c:v>
                </c:pt>
                <c:pt idx="3">
                  <c:v>2021</c:v>
                </c:pt>
                <c:pt idx="4">
                  <c:v>2022</c:v>
                </c:pt>
                <c:pt idx="5">
                  <c:v>2023</c:v>
                </c:pt>
                <c:pt idx="6">
                  <c:v>2024</c:v>
                </c:pt>
                <c:pt idx="7">
                  <c:v>2025</c:v>
                </c:pt>
              </c:strCache>
            </c:strRef>
          </c:cat>
          <c:val>
            <c:numRef>
              <c:f>Scenarios!$C$177:$J$177</c:f>
              <c:numCache>
                <c:formatCode>#,##0</c:formatCode>
                <c:ptCount val="8"/>
                <c:pt idx="0">
                  <c:v>23215.978377187079</c:v>
                </c:pt>
                <c:pt idx="1">
                  <c:v>44382.399553839001</c:v>
                </c:pt>
                <c:pt idx="2">
                  <c:v>69022.67952865304</c:v>
                </c:pt>
                <c:pt idx="3">
                  <c:v>94234.763363506703</c:v>
                </c:pt>
                <c:pt idx="4">
                  <c:v>103858.5812642758</c:v>
                </c:pt>
                <c:pt idx="5">
                  <c:v>118200.9060758469</c:v>
                </c:pt>
                <c:pt idx="6">
                  <c:v>131066.05228277741</c:v>
                </c:pt>
                <c:pt idx="7">
                  <c:v>143303.44850013289</c:v>
                </c:pt>
              </c:numCache>
            </c:numRef>
          </c:val>
          <c:extLst>
            <c:ext xmlns:c16="http://schemas.microsoft.com/office/drawing/2014/chart" uri="{C3380CC4-5D6E-409C-BE32-E72D297353CC}">
              <c16:uniqueId val="{00000001-206F-49B0-AB59-995277EAD7C6}"/>
            </c:ext>
          </c:extLst>
        </c:ser>
        <c:ser>
          <c:idx val="3"/>
          <c:order val="3"/>
          <c:tx>
            <c:strRef>
              <c:f>Scenarios!$A$169</c:f>
              <c:strCache>
                <c:ptCount val="1"/>
                <c:pt idx="0">
                  <c:v>Annual FCEVs</c:v>
                </c:pt>
              </c:strCache>
            </c:strRef>
          </c:tx>
          <c:spPr>
            <a:solidFill>
              <a:schemeClr val="accent3"/>
            </a:solidFill>
          </c:spPr>
          <c:invertIfNegative val="0"/>
          <c:val>
            <c:numRef>
              <c:f>Scenarios!$C$169:$J$169</c:f>
              <c:numCache>
                <c:formatCode>#,##0</c:formatCode>
                <c:ptCount val="8"/>
                <c:pt idx="0">
                  <c:v>2368.3782706994598</c:v>
                </c:pt>
                <c:pt idx="1">
                  <c:v>4842.5671605160942</c:v>
                </c:pt>
                <c:pt idx="2">
                  <c:v>7306.6044092032489</c:v>
                </c:pt>
                <c:pt idx="3">
                  <c:v>9826.629336292719</c:v>
                </c:pt>
                <c:pt idx="4">
                  <c:v>16214.947336704085</c:v>
                </c:pt>
                <c:pt idx="5">
                  <c:v>19402.673848143153</c:v>
                </c:pt>
                <c:pt idx="6">
                  <c:v>22570.181930432507</c:v>
                </c:pt>
                <c:pt idx="7">
                  <c:v>25854.876339766444</c:v>
                </c:pt>
              </c:numCache>
            </c:numRef>
          </c:val>
          <c:extLst>
            <c:ext xmlns:c16="http://schemas.microsoft.com/office/drawing/2014/chart" uri="{C3380CC4-5D6E-409C-BE32-E72D297353CC}">
              <c16:uniqueId val="{00000002-206F-49B0-AB59-995277EAD7C6}"/>
            </c:ext>
          </c:extLst>
        </c:ser>
        <c:dLbls>
          <c:showLegendKey val="0"/>
          <c:showVal val="0"/>
          <c:showCatName val="0"/>
          <c:showSerName val="0"/>
          <c:showPercent val="0"/>
          <c:showBubbleSize val="0"/>
        </c:dLbls>
        <c:gapWidth val="150"/>
        <c:overlap val="100"/>
        <c:axId val="135865856"/>
        <c:axId val="135867392"/>
      </c:barChart>
      <c:lineChart>
        <c:grouping val="standard"/>
        <c:varyColors val="0"/>
        <c:ser>
          <c:idx val="2"/>
          <c:order val="0"/>
          <c:tx>
            <c:strRef>
              <c:f>Scenarios!$A$181</c:f>
              <c:strCache>
                <c:ptCount val="1"/>
                <c:pt idx="0">
                  <c:v>cumulative CA + S177 (2018-2025)</c:v>
                </c:pt>
              </c:strCache>
            </c:strRef>
          </c:tx>
          <c:spPr>
            <a:ln>
              <a:solidFill>
                <a:schemeClr val="tx1"/>
              </a:solidFill>
            </a:ln>
          </c:spPr>
          <c:marker>
            <c:symbol val="none"/>
          </c:marker>
          <c:cat>
            <c:strRef>
              <c:f>Scenarios!$C$176:$J$176</c:f>
              <c:strCache>
                <c:ptCount val="8"/>
                <c:pt idx="0">
                  <c:v>2018</c:v>
                </c:pt>
                <c:pt idx="1">
                  <c:v>2019</c:v>
                </c:pt>
                <c:pt idx="2">
                  <c:v>2020</c:v>
                </c:pt>
                <c:pt idx="3">
                  <c:v>2021</c:v>
                </c:pt>
                <c:pt idx="4">
                  <c:v>2022</c:v>
                </c:pt>
                <c:pt idx="5">
                  <c:v>2023</c:v>
                </c:pt>
                <c:pt idx="6">
                  <c:v>2024</c:v>
                </c:pt>
                <c:pt idx="7">
                  <c:v>2025</c:v>
                </c:pt>
              </c:strCache>
            </c:strRef>
          </c:cat>
          <c:val>
            <c:numRef>
              <c:f>Scenarios!$C$181:$J$181</c:f>
              <c:numCache>
                <c:formatCode>#,##0</c:formatCode>
                <c:ptCount val="8"/>
                <c:pt idx="0">
                  <c:v>131585.15413883456</c:v>
                </c:pt>
                <c:pt idx="1">
                  <c:v>306559.83628264227</c:v>
                </c:pt>
                <c:pt idx="2">
                  <c:v>536525.33409180469</c:v>
                </c:pt>
                <c:pt idx="3">
                  <c:v>815339.14003314392</c:v>
                </c:pt>
                <c:pt idx="4">
                  <c:v>1116288.196377062</c:v>
                </c:pt>
                <c:pt idx="5">
                  <c:v>1450275.9683022553</c:v>
                </c:pt>
                <c:pt idx="6">
                  <c:v>1814585.5900384849</c:v>
                </c:pt>
                <c:pt idx="7">
                  <c:v>2208959.3759330125</c:v>
                </c:pt>
              </c:numCache>
            </c:numRef>
          </c:val>
          <c:smooth val="0"/>
          <c:extLst>
            <c:ext xmlns:c16="http://schemas.microsoft.com/office/drawing/2014/chart" uri="{C3380CC4-5D6E-409C-BE32-E72D297353CC}">
              <c16:uniqueId val="{00000003-206F-49B0-AB59-995277EAD7C6}"/>
            </c:ext>
          </c:extLst>
        </c:ser>
        <c:dLbls>
          <c:showLegendKey val="0"/>
          <c:showVal val="0"/>
          <c:showCatName val="0"/>
          <c:showSerName val="0"/>
          <c:showPercent val="0"/>
          <c:showBubbleSize val="0"/>
        </c:dLbls>
        <c:marker val="1"/>
        <c:smooth val="0"/>
        <c:axId val="135875584"/>
        <c:axId val="135873664"/>
      </c:lineChart>
      <c:catAx>
        <c:axId val="135865856"/>
        <c:scaling>
          <c:orientation val="minMax"/>
        </c:scaling>
        <c:delete val="0"/>
        <c:axPos val="b"/>
        <c:numFmt formatCode="General" sourceLinked="1"/>
        <c:majorTickMark val="out"/>
        <c:minorTickMark val="none"/>
        <c:tickLblPos val="nextTo"/>
        <c:crossAx val="135867392"/>
        <c:crosses val="autoZero"/>
        <c:auto val="1"/>
        <c:lblAlgn val="ctr"/>
        <c:lblOffset val="100"/>
        <c:noMultiLvlLbl val="0"/>
      </c:catAx>
      <c:valAx>
        <c:axId val="135867392"/>
        <c:scaling>
          <c:orientation val="minMax"/>
        </c:scaling>
        <c:delete val="0"/>
        <c:axPos val="l"/>
        <c:title>
          <c:tx>
            <c:rich>
              <a:bodyPr rot="-5400000" vert="horz"/>
              <a:lstStyle/>
              <a:p>
                <a:pPr>
                  <a:defRPr/>
                </a:pPr>
                <a:r>
                  <a:rPr lang="en-US"/>
                  <a:t>Annual</a:t>
                </a:r>
                <a:r>
                  <a:rPr lang="en-US" baseline="0"/>
                  <a:t> CA + S177 </a:t>
                </a:r>
                <a:r>
                  <a:rPr lang="en-US"/>
                  <a:t>PHEV/BEV/FCEV</a:t>
                </a:r>
              </a:p>
            </c:rich>
          </c:tx>
          <c:layout/>
          <c:overlay val="0"/>
        </c:title>
        <c:numFmt formatCode="#,##0" sourceLinked="1"/>
        <c:majorTickMark val="out"/>
        <c:minorTickMark val="none"/>
        <c:tickLblPos val="nextTo"/>
        <c:crossAx val="135865856"/>
        <c:crosses val="autoZero"/>
        <c:crossBetween val="between"/>
      </c:valAx>
      <c:valAx>
        <c:axId val="135873664"/>
        <c:scaling>
          <c:orientation val="minMax"/>
        </c:scaling>
        <c:delete val="0"/>
        <c:axPos val="r"/>
        <c:title>
          <c:tx>
            <c:rich>
              <a:bodyPr rot="-5400000" vert="horz"/>
              <a:lstStyle/>
              <a:p>
                <a:pPr>
                  <a:defRPr/>
                </a:pPr>
                <a:r>
                  <a:rPr lang="en-US"/>
                  <a:t>Cumulative CA</a:t>
                </a:r>
                <a:r>
                  <a:rPr lang="en-US" baseline="0"/>
                  <a:t> +  S177 PHEV/BEV/FCEV</a:t>
                </a:r>
                <a:endParaRPr lang="en-US"/>
              </a:p>
            </c:rich>
          </c:tx>
          <c:layout/>
          <c:overlay val="0"/>
        </c:title>
        <c:numFmt formatCode="#,##0" sourceLinked="1"/>
        <c:majorTickMark val="out"/>
        <c:minorTickMark val="none"/>
        <c:tickLblPos val="nextTo"/>
        <c:crossAx val="135875584"/>
        <c:crosses val="max"/>
        <c:crossBetween val="between"/>
      </c:valAx>
      <c:catAx>
        <c:axId val="135875584"/>
        <c:scaling>
          <c:orientation val="minMax"/>
        </c:scaling>
        <c:delete val="1"/>
        <c:axPos val="b"/>
        <c:numFmt formatCode="General" sourceLinked="1"/>
        <c:majorTickMark val="out"/>
        <c:minorTickMark val="none"/>
        <c:tickLblPos val="nextTo"/>
        <c:crossAx val="135873664"/>
        <c:crosses val="autoZero"/>
        <c:auto val="1"/>
        <c:lblAlgn val="ctr"/>
        <c:lblOffset val="100"/>
        <c:noMultiLvlLbl val="0"/>
      </c:catAx>
      <c:spPr>
        <a:ln>
          <a:solidFill>
            <a:schemeClr val="tx1"/>
          </a:solidFill>
        </a:ln>
      </c:spPr>
    </c:plotArea>
    <c:legend>
      <c:legendPos val="r"/>
      <c:layout>
        <c:manualLayout>
          <c:xMode val="edge"/>
          <c:yMode val="edge"/>
          <c:x val="9.674493813273341E-2"/>
          <c:y val="0.16364079490063743"/>
          <c:w val="0.26099417895607346"/>
          <c:h val="0.22734982419650374"/>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Cumulative CA Vehicle Numbers</a:t>
            </a:r>
          </a:p>
        </c:rich>
      </c:tx>
      <c:layout/>
      <c:overlay val="0"/>
    </c:title>
    <c:autoTitleDeleted val="0"/>
    <c:plotArea>
      <c:layout>
        <c:manualLayout>
          <c:layoutTarget val="inner"/>
          <c:xMode val="edge"/>
          <c:yMode val="edge"/>
          <c:x val="0.1299423804475521"/>
          <c:y val="0.13101068855600301"/>
          <c:w val="0.85342413786635674"/>
          <c:h val="0.79098967330253778"/>
        </c:manualLayout>
      </c:layout>
      <c:lineChart>
        <c:grouping val="standard"/>
        <c:varyColors val="0"/>
        <c:ser>
          <c:idx val="0"/>
          <c:order val="0"/>
          <c:tx>
            <c:v>Mid-Range Case</c:v>
          </c:tx>
          <c:marker>
            <c:symbol val="none"/>
          </c:marker>
          <c:cat>
            <c:strRef>
              <c:f>Scenarios!$B$77:$J$77</c:f>
              <c:strCache>
                <c:ptCount val="9"/>
                <c:pt idx="0">
                  <c:v>CA Bank Vehs</c:v>
                </c:pt>
                <c:pt idx="1">
                  <c:v>2018</c:v>
                </c:pt>
                <c:pt idx="2">
                  <c:v>2019</c:v>
                </c:pt>
                <c:pt idx="3">
                  <c:v>2020</c:v>
                </c:pt>
                <c:pt idx="4">
                  <c:v>2021</c:v>
                </c:pt>
                <c:pt idx="5">
                  <c:v>2022</c:v>
                </c:pt>
                <c:pt idx="6">
                  <c:v>2023</c:v>
                </c:pt>
                <c:pt idx="7">
                  <c:v>2024</c:v>
                </c:pt>
                <c:pt idx="8">
                  <c:v>2025</c:v>
                </c:pt>
              </c:strCache>
            </c:strRef>
          </c:cat>
          <c:val>
            <c:numRef>
              <c:f>Scenarios!$B$84:$J$84</c:f>
              <c:numCache>
                <c:formatCode>#,##0</c:formatCode>
                <c:ptCount val="9"/>
                <c:pt idx="0" formatCode="_(* #,##0_);_(* \(#,##0\);_(* &quot;-&quot;??_);_(@_)">
                  <c:v>154159.35206490045</c:v>
                </c:pt>
                <c:pt idx="1">
                  <c:v>198959.83317021606</c:v>
                </c:pt>
                <c:pt idx="2">
                  <c:v>259424.21868394915</c:v>
                </c:pt>
                <c:pt idx="3">
                  <c:v>342176.18199921295</c:v>
                </c:pt>
                <c:pt idx="4">
                  <c:v>440955.06402497547</c:v>
                </c:pt>
                <c:pt idx="5">
                  <c:v>550707.25440352119</c:v>
                </c:pt>
                <c:pt idx="6">
                  <c:v>673145.67448054871</c:v>
                </c:pt>
                <c:pt idx="7">
                  <c:v>807376.36596352293</c:v>
                </c:pt>
                <c:pt idx="8">
                  <c:v>953400.13968194777</c:v>
                </c:pt>
              </c:numCache>
            </c:numRef>
          </c:val>
          <c:smooth val="0"/>
          <c:extLst>
            <c:ext xmlns:c16="http://schemas.microsoft.com/office/drawing/2014/chart" uri="{C3380CC4-5D6E-409C-BE32-E72D297353CC}">
              <c16:uniqueId val="{00000000-1763-4AE4-843F-35D1053693B2}"/>
            </c:ext>
          </c:extLst>
        </c:ser>
        <c:ser>
          <c:idx val="1"/>
          <c:order val="1"/>
          <c:tx>
            <c:v>Slow Technology Case</c:v>
          </c:tx>
          <c:marker>
            <c:symbol val="none"/>
          </c:marker>
          <c:cat>
            <c:strRef>
              <c:f>Scenarios!$B$77:$J$77</c:f>
              <c:strCache>
                <c:ptCount val="9"/>
                <c:pt idx="0">
                  <c:v>CA Bank Vehs</c:v>
                </c:pt>
                <c:pt idx="1">
                  <c:v>2018</c:v>
                </c:pt>
                <c:pt idx="2">
                  <c:v>2019</c:v>
                </c:pt>
                <c:pt idx="3">
                  <c:v>2020</c:v>
                </c:pt>
                <c:pt idx="4">
                  <c:v>2021</c:v>
                </c:pt>
                <c:pt idx="5">
                  <c:v>2022</c:v>
                </c:pt>
                <c:pt idx="6">
                  <c:v>2023</c:v>
                </c:pt>
                <c:pt idx="7">
                  <c:v>2024</c:v>
                </c:pt>
                <c:pt idx="8">
                  <c:v>2025</c:v>
                </c:pt>
              </c:strCache>
            </c:strRef>
          </c:cat>
          <c:val>
            <c:numRef>
              <c:f>Scenarios!$B$129:$J$129</c:f>
              <c:numCache>
                <c:formatCode>#,##0</c:formatCode>
                <c:ptCount val="9"/>
                <c:pt idx="0" formatCode="_(* #,##0_);_(* \(#,##0\);_(* &quot;-&quot;??_);_(@_)">
                  <c:v>230349.60940876656</c:v>
                </c:pt>
                <c:pt idx="1">
                  <c:v>262971.30425340193</c:v>
                </c:pt>
                <c:pt idx="2">
                  <c:v>307274.92014981707</c:v>
                </c:pt>
                <c:pt idx="3">
                  <c:v>370242.60603449889</c:v>
                </c:pt>
                <c:pt idx="4">
                  <c:v>447406.84704637167</c:v>
                </c:pt>
                <c:pt idx="5">
                  <c:v>539730.30678745022</c:v>
                </c:pt>
                <c:pt idx="6">
                  <c:v>642876.69599966751</c:v>
                </c:pt>
                <c:pt idx="7">
                  <c:v>756116.25328512443</c:v>
                </c:pt>
                <c:pt idx="8">
                  <c:v>879468.4509144004</c:v>
                </c:pt>
              </c:numCache>
            </c:numRef>
          </c:val>
          <c:smooth val="0"/>
          <c:extLst>
            <c:ext xmlns:c16="http://schemas.microsoft.com/office/drawing/2014/chart" uri="{C3380CC4-5D6E-409C-BE32-E72D297353CC}">
              <c16:uniqueId val="{00000001-1763-4AE4-843F-35D1053693B2}"/>
            </c:ext>
          </c:extLst>
        </c:ser>
        <c:ser>
          <c:idx val="2"/>
          <c:order val="2"/>
          <c:tx>
            <c:v>High Technology Case</c:v>
          </c:tx>
          <c:marker>
            <c:symbol val="none"/>
          </c:marker>
          <c:cat>
            <c:strRef>
              <c:f>Scenarios!$B$77:$J$77</c:f>
              <c:strCache>
                <c:ptCount val="9"/>
                <c:pt idx="0">
                  <c:v>CA Bank Vehs</c:v>
                </c:pt>
                <c:pt idx="1">
                  <c:v>2018</c:v>
                </c:pt>
                <c:pt idx="2">
                  <c:v>2019</c:v>
                </c:pt>
                <c:pt idx="3">
                  <c:v>2020</c:v>
                </c:pt>
                <c:pt idx="4">
                  <c:v>2021</c:v>
                </c:pt>
                <c:pt idx="5">
                  <c:v>2022</c:v>
                </c:pt>
                <c:pt idx="6">
                  <c:v>2023</c:v>
                </c:pt>
                <c:pt idx="7">
                  <c:v>2024</c:v>
                </c:pt>
                <c:pt idx="8">
                  <c:v>2025</c:v>
                </c:pt>
              </c:strCache>
            </c:strRef>
          </c:cat>
          <c:val>
            <c:numRef>
              <c:f>Scenarios!$B$174:$J$174</c:f>
              <c:numCache>
                <c:formatCode>#,##0</c:formatCode>
                <c:ptCount val="9"/>
                <c:pt idx="0" formatCode="_(* #,##0_);_(* \(#,##0\);_(* &quot;-&quot;??_);_(@_)">
                  <c:v>7456.1656436695994</c:v>
                </c:pt>
                <c:pt idx="1">
                  <c:v>66522.715406861389</c:v>
                </c:pt>
                <c:pt idx="2">
                  <c:v>146982.24174288445</c:v>
                </c:pt>
                <c:pt idx="3">
                  <c:v>250821.2957560496</c:v>
                </c:pt>
                <c:pt idx="4">
                  <c:v>374374.19618522364</c:v>
                </c:pt>
                <c:pt idx="5">
                  <c:v>510921.35614706448</c:v>
                </c:pt>
                <c:pt idx="6">
                  <c:v>663186.16541869356</c:v>
                </c:pt>
                <c:pt idx="7">
                  <c:v>830013.57745501713</c:v>
                </c:pt>
                <c:pt idx="8">
                  <c:v>1011365.4653542528</c:v>
                </c:pt>
              </c:numCache>
            </c:numRef>
          </c:val>
          <c:smooth val="0"/>
          <c:extLst>
            <c:ext xmlns:c16="http://schemas.microsoft.com/office/drawing/2014/chart" uri="{C3380CC4-5D6E-409C-BE32-E72D297353CC}">
              <c16:uniqueId val="{00000002-1763-4AE4-843F-35D1053693B2}"/>
            </c:ext>
          </c:extLst>
        </c:ser>
        <c:dLbls>
          <c:showLegendKey val="0"/>
          <c:showVal val="0"/>
          <c:showCatName val="0"/>
          <c:showSerName val="0"/>
          <c:showPercent val="0"/>
          <c:showBubbleSize val="0"/>
        </c:dLbls>
        <c:smooth val="0"/>
        <c:axId val="135910144"/>
        <c:axId val="135911680"/>
      </c:lineChart>
      <c:catAx>
        <c:axId val="135910144"/>
        <c:scaling>
          <c:orientation val="minMax"/>
        </c:scaling>
        <c:delete val="0"/>
        <c:axPos val="b"/>
        <c:numFmt formatCode="General" sourceLinked="1"/>
        <c:majorTickMark val="none"/>
        <c:minorTickMark val="none"/>
        <c:tickLblPos val="nextTo"/>
        <c:crossAx val="135911680"/>
        <c:crosses val="autoZero"/>
        <c:auto val="1"/>
        <c:lblAlgn val="ctr"/>
        <c:lblOffset val="100"/>
        <c:noMultiLvlLbl val="0"/>
      </c:catAx>
      <c:valAx>
        <c:axId val="135911680"/>
        <c:scaling>
          <c:orientation val="minMax"/>
        </c:scaling>
        <c:delete val="0"/>
        <c:axPos val="l"/>
        <c:majorGridlines/>
        <c:title>
          <c:tx>
            <c:rich>
              <a:bodyPr rot="-5400000" vert="horz"/>
              <a:lstStyle/>
              <a:p>
                <a:pPr>
                  <a:defRPr/>
                </a:pPr>
                <a:r>
                  <a:rPr lang="en-US"/>
                  <a:t>Number of Vehicles</a:t>
                </a:r>
              </a:p>
            </c:rich>
          </c:tx>
          <c:layout/>
          <c:overlay val="0"/>
        </c:title>
        <c:numFmt formatCode="_(* #,##0_);_(* \(#,##0\);_(* &quot;-&quot;??_);_(@_)" sourceLinked="1"/>
        <c:majorTickMark val="none"/>
        <c:minorTickMark val="none"/>
        <c:tickLblPos val="nextTo"/>
        <c:crossAx val="135910144"/>
        <c:crosses val="autoZero"/>
        <c:crossBetween val="midCat"/>
      </c:valAx>
      <c:spPr>
        <a:ln>
          <a:solidFill>
            <a:schemeClr val="tx1"/>
          </a:solidFill>
        </a:ln>
      </c:spPr>
    </c:plotArea>
    <c:legend>
      <c:legendPos val="r"/>
      <c:layout>
        <c:manualLayout>
          <c:xMode val="edge"/>
          <c:yMode val="edge"/>
          <c:x val="0.18654392846943751"/>
          <c:y val="0.23336517165480658"/>
          <c:w val="0.22433437651727853"/>
          <c:h val="0.3553086205936748"/>
        </c:manualLayout>
      </c:layout>
      <c:overlay val="0"/>
      <c:spPr>
        <a:solidFill>
          <a:schemeClr val="bg1"/>
        </a:solidFill>
        <a:ln>
          <a:solidFill>
            <a:schemeClr val="tx1"/>
          </a:solidFill>
        </a:ln>
      </c:spPr>
      <c:txPr>
        <a:bodyPr/>
        <a:lstStyle/>
        <a:p>
          <a:pPr>
            <a:defRPr sz="1000" b="1"/>
          </a:pPr>
          <a:endParaRPr lang="en-US"/>
        </a:p>
      </c:txPr>
    </c:legend>
    <c:plotVisOnly val="1"/>
    <c:dispBlanksAs val="gap"/>
    <c:showDLblsOverMax val="0"/>
  </c:chart>
  <c:txPr>
    <a:bodyPr/>
    <a:lstStyle/>
    <a:p>
      <a:pPr>
        <a:defRPr sz="8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Scenario 1</a:t>
            </a:r>
          </a:p>
          <a:p>
            <a:pPr>
              <a:defRPr sz="1000"/>
            </a:pPr>
            <a:r>
              <a:rPr lang="en-US" sz="1000"/>
              <a:t>Cumulative CA Vehicle Numbers</a:t>
            </a:r>
          </a:p>
        </c:rich>
      </c:tx>
      <c:layout/>
      <c:overlay val="0"/>
    </c:title>
    <c:autoTitleDeleted val="0"/>
    <c:plotArea>
      <c:layout>
        <c:manualLayout>
          <c:layoutTarget val="inner"/>
          <c:xMode val="edge"/>
          <c:yMode val="edge"/>
          <c:x val="0.11668072403961727"/>
          <c:y val="0.14907949006374202"/>
          <c:w val="0.84927121293415786"/>
          <c:h val="0.74705818022747161"/>
        </c:manualLayout>
      </c:layout>
      <c:areaChart>
        <c:grouping val="stacked"/>
        <c:varyColors val="0"/>
        <c:ser>
          <c:idx val="2"/>
          <c:order val="0"/>
          <c:tx>
            <c:strRef>
              <c:f>Scenarios!$A$83</c:f>
              <c:strCache>
                <c:ptCount val="1"/>
                <c:pt idx="0">
                  <c:v>cumulative PHEVs</c:v>
                </c:pt>
              </c:strCache>
            </c:strRef>
          </c:tx>
          <c:spPr>
            <a:solidFill>
              <a:schemeClr val="accent2"/>
            </a:solidFill>
            <a:ln w="25400">
              <a:noFill/>
            </a:ln>
          </c:spPr>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Scenarios!$C$83:$J$83</c:f>
              <c:numCache>
                <c:formatCode>#,##0</c:formatCode>
                <c:ptCount val="8"/>
                <c:pt idx="0">
                  <c:v>35056.97532009265</c:v>
                </c:pt>
                <c:pt idx="1">
                  <c:v>77019.904494764764</c:v>
                </c:pt>
                <c:pt idx="2">
                  <c:v>132492.35953509028</c:v>
                </c:pt>
                <c:pt idx="3">
                  <c:v>195881.87814878812</c:v>
                </c:pt>
                <c:pt idx="4">
                  <c:v>262328.24131035025</c:v>
                </c:pt>
                <c:pt idx="5">
                  <c:v>334518.33770405292</c:v>
                </c:pt>
                <c:pt idx="6">
                  <c:v>412002.61740195169</c:v>
                </c:pt>
                <c:pt idx="7">
                  <c:v>494865.3192376144</c:v>
                </c:pt>
              </c:numCache>
            </c:numRef>
          </c:val>
          <c:extLst>
            <c:ext xmlns:c16="http://schemas.microsoft.com/office/drawing/2014/chart" uri="{C3380CC4-5D6E-409C-BE32-E72D297353CC}">
              <c16:uniqueId val="{00000000-C508-4024-8F78-78C088F061A2}"/>
            </c:ext>
          </c:extLst>
        </c:ser>
        <c:ser>
          <c:idx val="1"/>
          <c:order val="1"/>
          <c:tx>
            <c:strRef>
              <c:f>Scenarios!$A$81</c:f>
              <c:strCache>
                <c:ptCount val="1"/>
                <c:pt idx="0">
                  <c:v>cumulative BEVs</c:v>
                </c:pt>
              </c:strCache>
            </c:strRef>
          </c:tx>
          <c:spPr>
            <a:solidFill>
              <a:schemeClr val="accent1"/>
            </a:solidFill>
          </c:spPr>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Scenarios!$C$81:$J$81</c:f>
              <c:numCache>
                <c:formatCode>#,##0</c:formatCode>
                <c:ptCount val="8"/>
                <c:pt idx="0">
                  <c:v>7712.0803673287091</c:v>
                </c:pt>
                <c:pt idx="1">
                  <c:v>22059.92909250666</c:v>
                </c:pt>
                <c:pt idx="2">
                  <c:v>43051.816983991492</c:v>
                </c:pt>
                <c:pt idx="3">
                  <c:v>69957.933023726597</c:v>
                </c:pt>
                <c:pt idx="4">
                  <c:v>99137.04778578697</c:v>
                </c:pt>
                <c:pt idx="5">
                  <c:v>132481.46246356535</c:v>
                </c:pt>
                <c:pt idx="6">
                  <c:v>169564.38330008931</c:v>
                </c:pt>
                <c:pt idx="7">
                  <c:v>210200.2877539871</c:v>
                </c:pt>
              </c:numCache>
            </c:numRef>
          </c:val>
          <c:extLst>
            <c:ext xmlns:c16="http://schemas.microsoft.com/office/drawing/2014/chart" uri="{C3380CC4-5D6E-409C-BE32-E72D297353CC}">
              <c16:uniqueId val="{00000001-C508-4024-8F78-78C088F061A2}"/>
            </c:ext>
          </c:extLst>
        </c:ser>
        <c:ser>
          <c:idx val="0"/>
          <c:order val="2"/>
          <c:tx>
            <c:strRef>
              <c:f>Scenarios!$A$82</c:f>
              <c:strCache>
                <c:ptCount val="1"/>
                <c:pt idx="0">
                  <c:v>cumulative FCEVs</c:v>
                </c:pt>
              </c:strCache>
            </c:strRef>
          </c:tx>
          <c:spPr>
            <a:solidFill>
              <a:schemeClr val="accent3"/>
            </a:solidFill>
            <a:ln w="25400">
              <a:noFill/>
            </a:ln>
          </c:spPr>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Scenarios!$C$82:$J$82</c:f>
              <c:numCache>
                <c:formatCode>#,##0</c:formatCode>
                <c:ptCount val="8"/>
                <c:pt idx="0">
                  <c:v>2031.4254178942599</c:v>
                </c:pt>
                <c:pt idx="1">
                  <c:v>6185.0330317773014</c:v>
                </c:pt>
                <c:pt idx="2">
                  <c:v>12472.653415230699</c:v>
                </c:pt>
                <c:pt idx="3">
                  <c:v>20955.900787560291</c:v>
                </c:pt>
                <c:pt idx="4">
                  <c:v>35082.613242483436</c:v>
                </c:pt>
                <c:pt idx="5">
                  <c:v>51986.52224803</c:v>
                </c:pt>
                <c:pt idx="6">
                  <c:v>71650.013196581625</c:v>
                </c:pt>
                <c:pt idx="7">
                  <c:v>94175.180625445893</c:v>
                </c:pt>
              </c:numCache>
            </c:numRef>
          </c:val>
          <c:extLst>
            <c:ext xmlns:c16="http://schemas.microsoft.com/office/drawing/2014/chart" uri="{C3380CC4-5D6E-409C-BE32-E72D297353CC}">
              <c16:uniqueId val="{00000002-C508-4024-8F78-78C088F061A2}"/>
            </c:ext>
          </c:extLst>
        </c:ser>
        <c:dLbls>
          <c:showLegendKey val="0"/>
          <c:showVal val="0"/>
          <c:showCatName val="0"/>
          <c:showSerName val="0"/>
          <c:showPercent val="0"/>
          <c:showBubbleSize val="0"/>
        </c:dLbls>
        <c:axId val="136015872"/>
        <c:axId val="136017408"/>
      </c:areaChart>
      <c:catAx>
        <c:axId val="136015872"/>
        <c:scaling>
          <c:orientation val="minMax"/>
        </c:scaling>
        <c:delete val="0"/>
        <c:axPos val="b"/>
        <c:numFmt formatCode="General" sourceLinked="1"/>
        <c:majorTickMark val="out"/>
        <c:minorTickMark val="none"/>
        <c:tickLblPos val="nextTo"/>
        <c:crossAx val="136017408"/>
        <c:crosses val="autoZero"/>
        <c:auto val="1"/>
        <c:lblAlgn val="ctr"/>
        <c:lblOffset val="100"/>
        <c:noMultiLvlLbl val="0"/>
      </c:catAx>
      <c:valAx>
        <c:axId val="136017408"/>
        <c:scaling>
          <c:orientation val="minMax"/>
        </c:scaling>
        <c:delete val="0"/>
        <c:axPos val="l"/>
        <c:title>
          <c:tx>
            <c:rich>
              <a:bodyPr rot="-5400000" vert="horz"/>
              <a:lstStyle/>
              <a:p>
                <a:pPr>
                  <a:defRPr/>
                </a:pPr>
                <a:r>
                  <a:rPr lang="en-US"/>
                  <a:t>Cumulative CA PHEV/BEV/FCEV</a:t>
                </a:r>
              </a:p>
            </c:rich>
          </c:tx>
          <c:layout/>
          <c:overlay val="0"/>
        </c:title>
        <c:numFmt formatCode="#,##0" sourceLinked="1"/>
        <c:majorTickMark val="out"/>
        <c:minorTickMark val="none"/>
        <c:tickLblPos val="nextTo"/>
        <c:crossAx val="136015872"/>
        <c:crosses val="autoZero"/>
        <c:crossBetween val="midCat"/>
      </c:valAx>
      <c:spPr>
        <a:ln>
          <a:solidFill>
            <a:schemeClr val="tx1"/>
          </a:solidFill>
        </a:ln>
      </c:spPr>
    </c:plotArea>
    <c:legend>
      <c:legendPos val="r"/>
      <c:layout>
        <c:manualLayout>
          <c:xMode val="edge"/>
          <c:yMode val="edge"/>
          <c:x val="0.15057680289963754"/>
          <c:y val="0.19127234095738033"/>
          <c:w val="0.1435387592872884"/>
          <c:h val="0.15757083973426286"/>
        </c:manualLayout>
      </c:layout>
      <c:overlay val="0"/>
      <c:spPr>
        <a:solidFill>
          <a:schemeClr val="bg1"/>
        </a:solidFill>
        <a:ln>
          <a:solidFill>
            <a:schemeClr val="tx1"/>
          </a:solidFill>
        </a:ln>
      </c:spPr>
      <c:txPr>
        <a:bodyPr/>
        <a:lstStyle/>
        <a:p>
          <a:pPr>
            <a:defRPr sz="700"/>
          </a:pPr>
          <a:endParaRPr lang="en-US"/>
        </a:p>
      </c:txPr>
    </c:legend>
    <c:plotVisOnly val="1"/>
    <c:dispBlanksAs val="zero"/>
    <c:showDLblsOverMax val="0"/>
  </c:chart>
  <c:txPr>
    <a:bodyPr/>
    <a:lstStyle/>
    <a:p>
      <a:pPr>
        <a:defRPr sz="8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2012 Scenario </a:t>
            </a:r>
          </a:p>
          <a:p>
            <a:pPr>
              <a:defRPr sz="1000"/>
            </a:pPr>
            <a:r>
              <a:rPr lang="en-US" sz="1000"/>
              <a:t>CA Vehicle Numbers</a:t>
            </a:r>
          </a:p>
        </c:rich>
      </c:tx>
      <c:layout/>
      <c:overlay val="0"/>
    </c:title>
    <c:autoTitleDeleted val="0"/>
    <c:plotArea>
      <c:layout>
        <c:manualLayout>
          <c:layoutTarget val="inner"/>
          <c:xMode val="edge"/>
          <c:yMode val="edge"/>
          <c:x val="0.10063862227803667"/>
          <c:y val="0.12456942665802273"/>
          <c:w val="0.78344535309081387"/>
          <c:h val="0.77156826739139461"/>
        </c:manualLayout>
      </c:layout>
      <c:barChart>
        <c:barDir val="col"/>
        <c:grouping val="stacked"/>
        <c:varyColors val="0"/>
        <c:ser>
          <c:idx val="2"/>
          <c:order val="0"/>
          <c:tx>
            <c:strRef>
              <c:f>Scenarios!$A$33</c:f>
              <c:strCache>
                <c:ptCount val="1"/>
                <c:pt idx="0">
                  <c:v> 2012 CA Scenario: PHEVs</c:v>
                </c:pt>
              </c:strCache>
            </c:strRef>
          </c:tx>
          <c:spPr>
            <a:solidFill>
              <a:schemeClr val="accent2"/>
            </a:solidFill>
          </c:spPr>
          <c:invertIfNegative val="0"/>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Scenarios!$B$33:$I$33</c:f>
              <c:numCache>
                <c:formatCode>#,##0</c:formatCode>
                <c:ptCount val="8"/>
                <c:pt idx="0">
                  <c:v>61259.290151869347</c:v>
                </c:pt>
                <c:pt idx="1">
                  <c:v>75263.168617092844</c:v>
                </c:pt>
                <c:pt idx="2">
                  <c:v>89095.473277622048</c:v>
                </c:pt>
                <c:pt idx="3">
                  <c:v>101895.99722970306</c:v>
                </c:pt>
                <c:pt idx="4">
                  <c:v>116390.81417475773</c:v>
                </c:pt>
                <c:pt idx="5">
                  <c:v>131157.96439654613</c:v>
                </c:pt>
                <c:pt idx="6">
                  <c:v>146905.85625489202</c:v>
                </c:pt>
                <c:pt idx="7">
                  <c:v>161682.84737845772</c:v>
                </c:pt>
              </c:numCache>
            </c:numRef>
          </c:val>
          <c:extLst>
            <c:ext xmlns:c16="http://schemas.microsoft.com/office/drawing/2014/chart" uri="{C3380CC4-5D6E-409C-BE32-E72D297353CC}">
              <c16:uniqueId val="{00000000-3221-4308-AA21-A43D4D8FD7A7}"/>
            </c:ext>
          </c:extLst>
        </c:ser>
        <c:ser>
          <c:idx val="0"/>
          <c:order val="1"/>
          <c:tx>
            <c:strRef>
              <c:f>Scenarios!$A$32</c:f>
              <c:strCache>
                <c:ptCount val="1"/>
                <c:pt idx="0">
                  <c:v> 2012 CA Scenario: BEVs</c:v>
                </c:pt>
              </c:strCache>
            </c:strRef>
          </c:tx>
          <c:invertIfNegative val="0"/>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Scenarios!$B$32:$I$32</c:f>
              <c:numCache>
                <c:formatCode>#,##0</c:formatCode>
                <c:ptCount val="8"/>
                <c:pt idx="0">
                  <c:v>13872.978431498137</c:v>
                </c:pt>
                <c:pt idx="1">
                  <c:v>27250.040065096186</c:v>
                </c:pt>
                <c:pt idx="2">
                  <c:v>37672.445011904281</c:v>
                </c:pt>
                <c:pt idx="3">
                  <c:v>46266.564859078513</c:v>
                </c:pt>
                <c:pt idx="4">
                  <c:v>52550.728322793148</c:v>
                </c:pt>
                <c:pt idx="5">
                  <c:v>59499.5979751017</c:v>
                </c:pt>
                <c:pt idx="6">
                  <c:v>64230.992935123162</c:v>
                </c:pt>
                <c:pt idx="7">
                  <c:v>65383.291759907828</c:v>
                </c:pt>
              </c:numCache>
            </c:numRef>
          </c:val>
          <c:extLst>
            <c:ext xmlns:c16="http://schemas.microsoft.com/office/drawing/2014/chart" uri="{C3380CC4-5D6E-409C-BE32-E72D297353CC}">
              <c16:uniqueId val="{00000001-3221-4308-AA21-A43D4D8FD7A7}"/>
            </c:ext>
          </c:extLst>
        </c:ser>
        <c:ser>
          <c:idx val="1"/>
          <c:order val="2"/>
          <c:tx>
            <c:strRef>
              <c:f>Scenarios!$A$31</c:f>
              <c:strCache>
                <c:ptCount val="1"/>
                <c:pt idx="0">
                  <c:v> 2012 CA Scenario: FCEVs</c:v>
                </c:pt>
              </c:strCache>
            </c:strRef>
          </c:tx>
          <c:spPr>
            <a:solidFill>
              <a:schemeClr val="accent3"/>
            </a:solidFill>
          </c:spPr>
          <c:invertIfNegative val="0"/>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Scenarios!$B$31:$I$31</c:f>
              <c:numCache>
                <c:formatCode>#,##0</c:formatCode>
                <c:ptCount val="8"/>
                <c:pt idx="0">
                  <c:v>2942.7530006208181</c:v>
                </c:pt>
                <c:pt idx="1">
                  <c:v>6214.9214183552713</c:v>
                </c:pt>
                <c:pt idx="2">
                  <c:v>10625.561413614027</c:v>
                </c:pt>
                <c:pt idx="3">
                  <c:v>15422.188286359504</c:v>
                </c:pt>
                <c:pt idx="4">
                  <c:v>21638.535191738352</c:v>
                </c:pt>
                <c:pt idx="5">
                  <c:v>27766.479055047454</c:v>
                </c:pt>
                <c:pt idx="6">
                  <c:v>35174.115178757922</c:v>
                </c:pt>
                <c:pt idx="7">
                  <c:v>43588.861173271893</c:v>
                </c:pt>
              </c:numCache>
            </c:numRef>
          </c:val>
          <c:extLst>
            <c:ext xmlns:c16="http://schemas.microsoft.com/office/drawing/2014/chart" uri="{C3380CC4-5D6E-409C-BE32-E72D297353CC}">
              <c16:uniqueId val="{00000002-3221-4308-AA21-A43D4D8FD7A7}"/>
            </c:ext>
          </c:extLst>
        </c:ser>
        <c:dLbls>
          <c:showLegendKey val="0"/>
          <c:showVal val="0"/>
          <c:showCatName val="0"/>
          <c:showSerName val="0"/>
          <c:showPercent val="0"/>
          <c:showBubbleSize val="0"/>
        </c:dLbls>
        <c:gapWidth val="150"/>
        <c:overlap val="100"/>
        <c:axId val="136066176"/>
        <c:axId val="136067712"/>
      </c:barChart>
      <c:lineChart>
        <c:grouping val="standard"/>
        <c:varyColors val="0"/>
        <c:ser>
          <c:idx val="3"/>
          <c:order val="3"/>
          <c:tx>
            <c:strRef>
              <c:f>Scenarios!$A$37</c:f>
              <c:strCache>
                <c:ptCount val="1"/>
                <c:pt idx="0">
                  <c:v>cumulative CA 2012</c:v>
                </c:pt>
              </c:strCache>
            </c:strRef>
          </c:tx>
          <c:spPr>
            <a:ln>
              <a:solidFill>
                <a:schemeClr val="tx1"/>
              </a:solidFill>
            </a:ln>
          </c:spPr>
          <c:marker>
            <c:symbol val="none"/>
          </c:marker>
          <c:cat>
            <c:strRef>
              <c:f>Scenarios!$C$77:$J$77</c:f>
              <c:strCache>
                <c:ptCount val="8"/>
                <c:pt idx="0">
                  <c:v>2018</c:v>
                </c:pt>
                <c:pt idx="1">
                  <c:v>2019</c:v>
                </c:pt>
                <c:pt idx="2">
                  <c:v>2020</c:v>
                </c:pt>
                <c:pt idx="3">
                  <c:v>2021</c:v>
                </c:pt>
                <c:pt idx="4">
                  <c:v>2022</c:v>
                </c:pt>
                <c:pt idx="5">
                  <c:v>2023</c:v>
                </c:pt>
                <c:pt idx="6">
                  <c:v>2024</c:v>
                </c:pt>
                <c:pt idx="7">
                  <c:v>2025</c:v>
                </c:pt>
              </c:strCache>
            </c:strRef>
          </c:cat>
          <c:val>
            <c:numRef>
              <c:f>Scenarios!$B$37:$I$37</c:f>
              <c:numCache>
                <c:formatCode>#,##0</c:formatCode>
                <c:ptCount val="8"/>
                <c:pt idx="0">
                  <c:v>78075.021583988302</c:v>
                </c:pt>
                <c:pt idx="1">
                  <c:v>186803.15168453258</c:v>
                </c:pt>
                <c:pt idx="2">
                  <c:v>324196.63138767297</c:v>
                </c:pt>
                <c:pt idx="3">
                  <c:v>487781.38176281407</c:v>
                </c:pt>
                <c:pt idx="4">
                  <c:v>678361.45945210324</c:v>
                </c:pt>
                <c:pt idx="5">
                  <c:v>896785.50087879843</c:v>
                </c:pt>
                <c:pt idx="6">
                  <c:v>1143096.4652475717</c:v>
                </c:pt>
                <c:pt idx="7">
                  <c:v>1413751.465559209</c:v>
                </c:pt>
              </c:numCache>
            </c:numRef>
          </c:val>
          <c:smooth val="0"/>
          <c:extLst>
            <c:ext xmlns:c16="http://schemas.microsoft.com/office/drawing/2014/chart" uri="{C3380CC4-5D6E-409C-BE32-E72D297353CC}">
              <c16:uniqueId val="{00000003-3221-4308-AA21-A43D4D8FD7A7}"/>
            </c:ext>
          </c:extLst>
        </c:ser>
        <c:dLbls>
          <c:showLegendKey val="0"/>
          <c:showVal val="0"/>
          <c:showCatName val="0"/>
          <c:showSerName val="0"/>
          <c:showPercent val="0"/>
          <c:showBubbleSize val="0"/>
        </c:dLbls>
        <c:marker val="1"/>
        <c:smooth val="0"/>
        <c:axId val="136084096"/>
        <c:axId val="136082176"/>
      </c:lineChart>
      <c:catAx>
        <c:axId val="136066176"/>
        <c:scaling>
          <c:orientation val="minMax"/>
        </c:scaling>
        <c:delete val="0"/>
        <c:axPos val="b"/>
        <c:numFmt formatCode="General" sourceLinked="1"/>
        <c:majorTickMark val="out"/>
        <c:minorTickMark val="none"/>
        <c:tickLblPos val="nextTo"/>
        <c:txPr>
          <a:bodyPr/>
          <a:lstStyle/>
          <a:p>
            <a:pPr>
              <a:defRPr sz="800"/>
            </a:pPr>
            <a:endParaRPr lang="en-US"/>
          </a:p>
        </c:txPr>
        <c:crossAx val="136067712"/>
        <c:crosses val="autoZero"/>
        <c:auto val="1"/>
        <c:lblAlgn val="ctr"/>
        <c:lblOffset val="100"/>
        <c:noMultiLvlLbl val="0"/>
      </c:catAx>
      <c:valAx>
        <c:axId val="136067712"/>
        <c:scaling>
          <c:orientation val="minMax"/>
        </c:scaling>
        <c:delete val="0"/>
        <c:axPos val="l"/>
        <c:title>
          <c:tx>
            <c:rich>
              <a:bodyPr rot="-5400000" vert="horz"/>
              <a:lstStyle/>
              <a:p>
                <a:pPr>
                  <a:defRPr sz="800"/>
                </a:pPr>
                <a:r>
                  <a:rPr lang="en-US" sz="800"/>
                  <a:t>Annual CA PHEV/BEV/FCEV</a:t>
                </a:r>
              </a:p>
            </c:rich>
          </c:tx>
          <c:layout>
            <c:manualLayout>
              <c:xMode val="edge"/>
              <c:yMode val="edge"/>
              <c:x val="1.5610228780072228E-2"/>
              <c:y val="0.29437995203254891"/>
            </c:manualLayout>
          </c:layout>
          <c:overlay val="0"/>
        </c:title>
        <c:numFmt formatCode="#,##0" sourceLinked="1"/>
        <c:majorTickMark val="out"/>
        <c:minorTickMark val="none"/>
        <c:tickLblPos val="nextTo"/>
        <c:txPr>
          <a:bodyPr/>
          <a:lstStyle/>
          <a:p>
            <a:pPr>
              <a:defRPr sz="800"/>
            </a:pPr>
            <a:endParaRPr lang="en-US"/>
          </a:p>
        </c:txPr>
        <c:crossAx val="136066176"/>
        <c:crosses val="autoZero"/>
        <c:crossBetween val="between"/>
      </c:valAx>
      <c:valAx>
        <c:axId val="136082176"/>
        <c:scaling>
          <c:orientation val="minMax"/>
        </c:scaling>
        <c:delete val="0"/>
        <c:axPos val="r"/>
        <c:title>
          <c:tx>
            <c:rich>
              <a:bodyPr rot="-5400000" vert="horz"/>
              <a:lstStyle/>
              <a:p>
                <a:pPr>
                  <a:defRPr sz="800"/>
                </a:pPr>
                <a:r>
                  <a:rPr lang="en-US" sz="800"/>
                  <a:t>Cumulative CA PHZEV/BEV/FCEV</a:t>
                </a:r>
              </a:p>
            </c:rich>
          </c:tx>
          <c:layout/>
          <c:overlay val="0"/>
        </c:title>
        <c:numFmt formatCode="#,##0" sourceLinked="1"/>
        <c:majorTickMark val="out"/>
        <c:minorTickMark val="none"/>
        <c:tickLblPos val="nextTo"/>
        <c:txPr>
          <a:bodyPr/>
          <a:lstStyle/>
          <a:p>
            <a:pPr>
              <a:defRPr sz="800"/>
            </a:pPr>
            <a:endParaRPr lang="en-US"/>
          </a:p>
        </c:txPr>
        <c:crossAx val="136084096"/>
        <c:crosses val="max"/>
        <c:crossBetween val="between"/>
      </c:valAx>
      <c:catAx>
        <c:axId val="136084096"/>
        <c:scaling>
          <c:orientation val="minMax"/>
        </c:scaling>
        <c:delete val="1"/>
        <c:axPos val="b"/>
        <c:numFmt formatCode="General" sourceLinked="1"/>
        <c:majorTickMark val="out"/>
        <c:minorTickMark val="none"/>
        <c:tickLblPos val="nextTo"/>
        <c:crossAx val="136082176"/>
        <c:crosses val="autoZero"/>
        <c:auto val="1"/>
        <c:lblAlgn val="ctr"/>
        <c:lblOffset val="100"/>
        <c:noMultiLvlLbl val="0"/>
      </c:catAx>
      <c:spPr>
        <a:ln>
          <a:solidFill>
            <a:schemeClr val="tx1"/>
          </a:solidFill>
        </a:ln>
      </c:spPr>
    </c:plotArea>
    <c:legend>
      <c:legendPos val="r"/>
      <c:layout>
        <c:manualLayout>
          <c:xMode val="edge"/>
          <c:yMode val="edge"/>
          <c:x val="0.14407245969253843"/>
          <c:y val="0.19127234095738033"/>
          <c:w val="0.24538495188101492"/>
          <c:h val="0.24044650668666417"/>
        </c:manualLayout>
      </c:layout>
      <c:overlay val="0"/>
      <c:spPr>
        <a:ln>
          <a:solidFill>
            <a:schemeClr val="tx1"/>
          </a:solidFill>
        </a:ln>
      </c:spPr>
    </c:legend>
    <c:plotVisOnly val="1"/>
    <c:dispBlanksAs val="zero"/>
    <c:showDLblsOverMax val="0"/>
  </c:chart>
  <c:spPr>
    <a:ln>
      <a:solidFill>
        <a:sysClr val="windowText" lastClr="000000"/>
      </a:solidFill>
    </a:ln>
  </c:spPr>
  <c:txPr>
    <a:bodyPr/>
    <a:lstStyle/>
    <a:p>
      <a:pPr>
        <a:defRPr sz="7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46981</xdr:colOff>
      <xdr:row>92</xdr:row>
      <xdr:rowOff>142875</xdr:rowOff>
    </xdr:from>
    <xdr:to>
      <xdr:col>6</xdr:col>
      <xdr:colOff>10786</xdr:colOff>
      <xdr:row>105</xdr:row>
      <xdr:rowOff>71755</xdr:rowOff>
    </xdr:to>
    <xdr:graphicFrame macro="">
      <xdr:nvGraphicFramePr>
        <xdr:cNvPr id="2" name="Chart 1" descr="Annual numbers of hyrdogen fuel cell, battery electric, and plug-in hybrid electric vehicles as a result of compliance with the ZEV regulation in California for 2018 through 2025 model year for Scenario 1.  " title="Annual Scenario 1 California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48532</xdr:colOff>
      <xdr:row>105</xdr:row>
      <xdr:rowOff>122464</xdr:rowOff>
    </xdr:from>
    <xdr:to>
      <xdr:col>6</xdr:col>
      <xdr:colOff>9235</xdr:colOff>
      <xdr:row>118</xdr:row>
      <xdr:rowOff>47353</xdr:rowOff>
    </xdr:to>
    <xdr:graphicFrame macro="">
      <xdr:nvGraphicFramePr>
        <xdr:cNvPr id="3" name="Chart 2" descr="Annual numbers of hyrdogen fuel cell, battery electric, and plug-in hybrid electric vehicles as a result of compliance with the ZEV regulation in California and Section 177 States for 2018 through 2025 model year for Scenario 1.  " title="Annual Scenario 1 California and Section 177 Stat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138</xdr:row>
      <xdr:rowOff>75</xdr:rowOff>
    </xdr:from>
    <xdr:to>
      <xdr:col>5</xdr:col>
      <xdr:colOff>713105</xdr:colOff>
      <xdr:row>150</xdr:row>
      <xdr:rowOff>173811</xdr:rowOff>
    </xdr:to>
    <xdr:graphicFrame macro="">
      <xdr:nvGraphicFramePr>
        <xdr:cNvPr id="4" name="Chart 3" descr="Annual numbers of hyrdogen fuel cell, battery electric, and plug-in hybrid electric vehicles as a result of compliance with the ZEV regulation in California for 2018 through 2025 model year for Scenario 2.  " title="Annual Scenario 2 California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151</xdr:row>
      <xdr:rowOff>0</xdr:rowOff>
    </xdr:from>
    <xdr:to>
      <xdr:col>5</xdr:col>
      <xdr:colOff>713105</xdr:colOff>
      <xdr:row>163</xdr:row>
      <xdr:rowOff>173736</xdr:rowOff>
    </xdr:to>
    <xdr:graphicFrame macro="">
      <xdr:nvGraphicFramePr>
        <xdr:cNvPr id="5" name="Chart 4" descr="Annual numbers of hyrdogen fuel cell, battery electric, and plug-in hybrid electric vehicles as a result of compliance with the ZEV regulation in California and Section 177 States for 2018 through 2025 model year for Scenario 2.  " title="Annual Scenario 2 California and Section 177 Stat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63500</xdr:colOff>
      <xdr:row>182</xdr:row>
      <xdr:rowOff>191286</xdr:rowOff>
    </xdr:from>
    <xdr:to>
      <xdr:col>5</xdr:col>
      <xdr:colOff>713105</xdr:colOff>
      <xdr:row>195</xdr:row>
      <xdr:rowOff>126516</xdr:rowOff>
    </xdr:to>
    <xdr:graphicFrame macro="">
      <xdr:nvGraphicFramePr>
        <xdr:cNvPr id="6" name="Chart 5" descr="Annual numbers of hyrdogen fuel cell, battery electric, and plug-in hybrid electric vehicles as a result of compliance with the ZEV regulation in California for 2018 through 2025 model year for Scenario 3.  " title="Annual Scenario 3 California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63500</xdr:colOff>
      <xdr:row>195</xdr:row>
      <xdr:rowOff>215490</xdr:rowOff>
    </xdr:from>
    <xdr:to>
      <xdr:col>5</xdr:col>
      <xdr:colOff>713105</xdr:colOff>
      <xdr:row>208</xdr:row>
      <xdr:rowOff>150720</xdr:rowOff>
    </xdr:to>
    <xdr:graphicFrame macro="">
      <xdr:nvGraphicFramePr>
        <xdr:cNvPr id="7" name="Chart 6" descr="Annual numbers of hyrdogen fuel cell, battery electric, and plug-in hybrid electric vehicles as a result of compliance with the ZEV regulation in California and Section 177 States for 2018 through 2025 model year for Scenario 3.  " title="Annual Scenario 3 California and Section 177 Stat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154940</xdr:colOff>
      <xdr:row>7</xdr:row>
      <xdr:rowOff>127000</xdr:rowOff>
    </xdr:from>
    <xdr:to>
      <xdr:col>18</xdr:col>
      <xdr:colOff>266700</xdr:colOff>
      <xdr:row>20</xdr:row>
      <xdr:rowOff>0</xdr:rowOff>
    </xdr:to>
    <xdr:graphicFrame macro="">
      <xdr:nvGraphicFramePr>
        <xdr:cNvPr id="10" name="Chart 9" descr="Summary of the cumulative numbers of vehicles espected from Compliance Calucaltor 1, 2, and 3 shown on the same chart through 2025 model year.  " title="Cumulative California Plug-in Hybrid and Battery Electric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47625</xdr:colOff>
      <xdr:row>92</xdr:row>
      <xdr:rowOff>142875</xdr:rowOff>
    </xdr:from>
    <xdr:to>
      <xdr:col>14</xdr:col>
      <xdr:colOff>750794</xdr:colOff>
      <xdr:row>105</xdr:row>
      <xdr:rowOff>71755</xdr:rowOff>
    </xdr:to>
    <xdr:graphicFrame macro="">
      <xdr:nvGraphicFramePr>
        <xdr:cNvPr id="11" name="Chart 10" descr="Cumulative numbers of hyrdogen fuel cell, battery electric, and plug-in hybrid electric vehicles as a result of compliance with the ZEV regulation in California for 2018 through 2025 model year from Scenario 1." title="Scenario 1 California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63500</xdr:colOff>
      <xdr:row>47</xdr:row>
      <xdr:rowOff>77585</xdr:rowOff>
    </xdr:from>
    <xdr:to>
      <xdr:col>6</xdr:col>
      <xdr:colOff>3060</xdr:colOff>
      <xdr:row>60</xdr:row>
      <xdr:rowOff>3992</xdr:rowOff>
    </xdr:to>
    <xdr:graphicFrame macro="">
      <xdr:nvGraphicFramePr>
        <xdr:cNvPr id="15" name="Chart 14" descr="Annual numbers of hyrdogen fuel cell, battery electric, and plug-in hybrid electric vehicles as a result of compliance with the ZEV regulation in California for 2018 through 2025 model year from the original 2012 complaince scenario.  " title="2012 Scenario California Annual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47625</xdr:colOff>
      <xdr:row>138</xdr:row>
      <xdr:rowOff>75</xdr:rowOff>
    </xdr:from>
    <xdr:to>
      <xdr:col>14</xdr:col>
      <xdr:colOff>728382</xdr:colOff>
      <xdr:row>150</xdr:row>
      <xdr:rowOff>173811</xdr:rowOff>
    </xdr:to>
    <xdr:graphicFrame macro="">
      <xdr:nvGraphicFramePr>
        <xdr:cNvPr id="17" name="Chart 16" descr="Cumulative numbers of hyrdogen fuel cell, battery electric, and plug-in hybrid electric vehicles as a result of compliance with the ZEV regulation in California for 2018 through 2025 model year from Scenario 2." title="Scenario 2 California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47625</xdr:colOff>
      <xdr:row>182</xdr:row>
      <xdr:rowOff>185009</xdr:rowOff>
    </xdr:from>
    <xdr:to>
      <xdr:col>14</xdr:col>
      <xdr:colOff>806824</xdr:colOff>
      <xdr:row>195</xdr:row>
      <xdr:rowOff>156882</xdr:rowOff>
    </xdr:to>
    <xdr:graphicFrame macro="">
      <xdr:nvGraphicFramePr>
        <xdr:cNvPr id="18" name="Chart 17" descr="Cumulative numbers of hyrdogen fuel cell, battery electric, and plug-in hybrid electric vehicles as a result of compliance with the ZEV regulation in California for 2018 through 2025 model year from Scenario 3." title="Scenario 3 California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63500</xdr:colOff>
      <xdr:row>60</xdr:row>
      <xdr:rowOff>114392</xdr:rowOff>
    </xdr:from>
    <xdr:to>
      <xdr:col>6</xdr:col>
      <xdr:colOff>3060</xdr:colOff>
      <xdr:row>73</xdr:row>
      <xdr:rowOff>39280</xdr:rowOff>
    </xdr:to>
    <xdr:graphicFrame macro="">
      <xdr:nvGraphicFramePr>
        <xdr:cNvPr id="20" name="Chart 19" descr="Annual numbers of hyrdogen fuel cell, battery electric, and plug-in hybrid electric vehicles as a result of compliance with the ZEV regulation in California and the Section 177 States for 2018 through 2025 model year from the original 2012 complaince scenario.  " title="2012 Scenario California and Section 177 State Annual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47625</xdr:colOff>
      <xdr:row>60</xdr:row>
      <xdr:rowOff>115223</xdr:rowOff>
    </xdr:from>
    <xdr:to>
      <xdr:col>14</xdr:col>
      <xdr:colOff>616324</xdr:colOff>
      <xdr:row>73</xdr:row>
      <xdr:rowOff>40111</xdr:rowOff>
    </xdr:to>
    <xdr:graphicFrame macro="">
      <xdr:nvGraphicFramePr>
        <xdr:cNvPr id="21" name="Chart 20" descr="Cumulative numbers of hyrdogen fuel cell, battery electric, and plug-in hybrid electric vehicles as a result of compliance with the ZEV regulation in California and Section 177 States for 2018 through 2025 model year from the original 2012 complaince scenario.  " title="2012 Scenario California and Section 177 State Cumu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47625</xdr:colOff>
      <xdr:row>105</xdr:row>
      <xdr:rowOff>122464</xdr:rowOff>
    </xdr:from>
    <xdr:to>
      <xdr:col>14</xdr:col>
      <xdr:colOff>728382</xdr:colOff>
      <xdr:row>118</xdr:row>
      <xdr:rowOff>47353</xdr:rowOff>
    </xdr:to>
    <xdr:graphicFrame macro="">
      <xdr:nvGraphicFramePr>
        <xdr:cNvPr id="22" name="Chart 21" descr="Cumulative numbers of hyrdogen fuel cell, battery electric, and plug-in hybrid electric vehicles as a result of compliance with the ZEV regulation in California and the Section 177 State for 2018 through 2025 model year from Scenario 1." title="Scenario 1 California and Section 177 State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47625</xdr:colOff>
      <xdr:row>151</xdr:row>
      <xdr:rowOff>0</xdr:rowOff>
    </xdr:from>
    <xdr:to>
      <xdr:col>14</xdr:col>
      <xdr:colOff>739588</xdr:colOff>
      <xdr:row>163</xdr:row>
      <xdr:rowOff>173736</xdr:rowOff>
    </xdr:to>
    <xdr:graphicFrame macro="">
      <xdr:nvGraphicFramePr>
        <xdr:cNvPr id="24" name="Chart 23" descr="Cumulative numbers of hyrdogen fuel cell, battery electric, and plug-in hybrid electric vehicles as a result of compliance with the ZEV regulation in California and the Section 177 State for 2018 through 2025 model year from Scenario 2." title="Scenario 2 California and Section 177 State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47626</xdr:colOff>
      <xdr:row>195</xdr:row>
      <xdr:rowOff>227146</xdr:rowOff>
    </xdr:from>
    <xdr:to>
      <xdr:col>14</xdr:col>
      <xdr:colOff>818030</xdr:colOff>
      <xdr:row>208</xdr:row>
      <xdr:rowOff>156883</xdr:rowOff>
    </xdr:to>
    <xdr:graphicFrame macro="">
      <xdr:nvGraphicFramePr>
        <xdr:cNvPr id="25" name="Chart 24" descr="Cumulative numbers of hyrdogen fuel cell, battery electric, and plug-in hybrid electric vehicles as a result of compliance with the ZEV regulation in California and the Section 177 State for 2018 through 2025 model year from Scenario 3." title="Scenario 3 California and Section 177 State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47625</xdr:colOff>
      <xdr:row>47</xdr:row>
      <xdr:rowOff>78344</xdr:rowOff>
    </xdr:from>
    <xdr:to>
      <xdr:col>14</xdr:col>
      <xdr:colOff>616324</xdr:colOff>
      <xdr:row>60</xdr:row>
      <xdr:rowOff>3233</xdr:rowOff>
    </xdr:to>
    <xdr:graphicFrame macro="">
      <xdr:nvGraphicFramePr>
        <xdr:cNvPr id="23" name="Chart 22" descr="Cumulative numbers of hyrdogen fuel cell, battery electric, and plug-in hybrid electric vehicles as a result of compliance with the ZEV regulation in California for 2018 through 2025 model year from the original 2012 complaince scenario.  " title="2012 Scenario California Cumulative Vehicle Numb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425824</xdr:colOff>
      <xdr:row>0</xdr:row>
      <xdr:rowOff>156883</xdr:rowOff>
    </xdr:from>
    <xdr:to>
      <xdr:col>7</xdr:col>
      <xdr:colOff>51547</xdr:colOff>
      <xdr:row>5</xdr:row>
      <xdr:rowOff>68917</xdr:rowOff>
    </xdr:to>
    <xdr:pic>
      <xdr:nvPicPr>
        <xdr:cNvPr id="28" name="Picture 27"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25824" y="156883"/>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3481916</xdr:colOff>
      <xdr:row>0</xdr:row>
      <xdr:rowOff>52916</xdr:rowOff>
    </xdr:from>
    <xdr:to>
      <xdr:col>6</xdr:col>
      <xdr:colOff>22909</xdr:colOff>
      <xdr:row>0</xdr:row>
      <xdr:rowOff>1197597</xdr:rowOff>
    </xdr:to>
    <xdr:pic>
      <xdr:nvPicPr>
        <xdr:cNvPr id="3" name="Picture 2"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81916" y="52916"/>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3333750</xdr:colOff>
      <xdr:row>0</xdr:row>
      <xdr:rowOff>105833</xdr:rowOff>
    </xdr:from>
    <xdr:to>
      <xdr:col>6</xdr:col>
      <xdr:colOff>255743</xdr:colOff>
      <xdr:row>0</xdr:row>
      <xdr:rowOff>1250514</xdr:rowOff>
    </xdr:to>
    <xdr:pic>
      <xdr:nvPicPr>
        <xdr:cNvPr id="4" name="Picture 3"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0" y="105833"/>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4254500</xdr:colOff>
      <xdr:row>0</xdr:row>
      <xdr:rowOff>254000</xdr:rowOff>
    </xdr:from>
    <xdr:to>
      <xdr:col>7</xdr:col>
      <xdr:colOff>266326</xdr:colOff>
      <xdr:row>0</xdr:row>
      <xdr:rowOff>1398681</xdr:rowOff>
    </xdr:to>
    <xdr:pic>
      <xdr:nvPicPr>
        <xdr:cNvPr id="3" name="Picture 2"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4500" y="254000"/>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742950</xdr:colOff>
      <xdr:row>0</xdr:row>
      <xdr:rowOff>38100</xdr:rowOff>
    </xdr:from>
    <xdr:to>
      <xdr:col>6</xdr:col>
      <xdr:colOff>2801</xdr:colOff>
      <xdr:row>0</xdr:row>
      <xdr:rowOff>1182781</xdr:rowOff>
    </xdr:to>
    <xdr:pic>
      <xdr:nvPicPr>
        <xdr:cNvPr id="2" name="Picture 1"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38100"/>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1581150</xdr:colOff>
      <xdr:row>0</xdr:row>
      <xdr:rowOff>76200</xdr:rowOff>
    </xdr:from>
    <xdr:to>
      <xdr:col>1</xdr:col>
      <xdr:colOff>8927726</xdr:colOff>
      <xdr:row>0</xdr:row>
      <xdr:rowOff>1220881</xdr:rowOff>
    </xdr:to>
    <xdr:pic>
      <xdr:nvPicPr>
        <xdr:cNvPr id="2" name="Picture 1"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76200"/>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1438275</xdr:colOff>
      <xdr:row>0</xdr:row>
      <xdr:rowOff>104775</xdr:rowOff>
    </xdr:from>
    <xdr:to>
      <xdr:col>0</xdr:col>
      <xdr:colOff>8784851</xdr:colOff>
      <xdr:row>0</xdr:row>
      <xdr:rowOff>1249456</xdr:rowOff>
    </xdr:to>
    <xdr:pic>
      <xdr:nvPicPr>
        <xdr:cNvPr id="3" name="Picture 2" descr="California Air Resources Board Zero Emission Vehicle Regulation Compliance Calculator" title="Spreadsheet Tit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104775"/>
          <a:ext cx="7346576" cy="11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8:J13" totalsRowShown="0" headerRowDxfId="14" dataDxfId="13" headerRowBorderDxfId="702" tableBorderDxfId="701">
  <autoFilter ref="A8:J13"/>
  <tableColumns count="10">
    <tableColumn id="1" name="Technology Mix/Vehicle Numbers" dataDxfId="24"/>
    <tableColumn id="2" name="AER Growth Rate" dataDxfId="23" dataCellStyle="Percent"/>
    <tableColumn id="3" name="2018" dataDxfId="22"/>
    <tableColumn id="4" name="2019" dataDxfId="21"/>
    <tableColumn id="5" name="2020" dataDxfId="20"/>
    <tableColumn id="6" name="2021" dataDxfId="19"/>
    <tableColumn id="7" name="2022" dataDxfId="18"/>
    <tableColumn id="8" name="2023" dataDxfId="17"/>
    <tableColumn id="9" name="2024" dataDxfId="16"/>
    <tableColumn id="10" name="2025" dataDxfId="15"/>
  </tableColumns>
  <tableStyleInfo name="TableStyleMedium2" showFirstColumn="0" showLastColumn="0" showRowStripes="1" showColumnStripes="0"/>
  <extLst>
    <ext xmlns:x14="http://schemas.microsoft.com/office/spreadsheetml/2009/9/main" uri="{504A1905-F514-4f6f-8877-14C23A59335A}">
      <x14:table altText="Technology Mix and Vehicle Inputs for Scenario 1" altTextSummary="Input table for changing key technology mix and vehicle parameters for Scenario 1."/>
    </ext>
  </extLst>
</table>
</file>

<file path=xl/tables/table10.xml><?xml version="1.0" encoding="utf-8"?>
<table xmlns="http://schemas.openxmlformats.org/spreadsheetml/2006/main" id="11" name="Table11" displayName="Table11" ref="A122:K130" totalsRowShown="0" headerRowDxfId="67" tableBorderDxfId="667">
  <autoFilter ref="A122:K130"/>
  <tableColumns count="11">
    <tableColumn id="1" name="Column1"/>
    <tableColumn id="2" name="CA Bank Vehs"/>
    <tableColumn id="3" name="2018"/>
    <tableColumn id="4" name="2019"/>
    <tableColumn id="5" name="2020"/>
    <tableColumn id="6" name="2021"/>
    <tableColumn id="7" name="2022"/>
    <tableColumn id="8" name="2023"/>
    <tableColumn id="9" name="2024"/>
    <tableColumn id="10" name="2025"/>
    <tableColumn id="11" name="Total 2018-2025" dataDxfId="666"/>
  </tableColumns>
  <tableStyleInfo name="TableStyleMedium2" showFirstColumn="0" showLastColumn="0" showRowStripes="1" showColumnStripes="0"/>
  <extLst>
    <ext xmlns:x14="http://schemas.microsoft.com/office/spreadsheetml/2009/9/main" uri="{504A1905-F514-4f6f-8877-14C23A59335A}">
      <x14:table altText="Summary Table for Scenario 2 in California" altTextSummary="Summary of vehicle numbers estimated in Scenario 2.  Annual and cumulative vehicle numbers are broken out by technology type for 2018 through 2025 model year for California.   "/>
    </ext>
  </extLst>
</table>
</file>

<file path=xl/tables/table11.xml><?xml version="1.0" encoding="utf-8"?>
<table xmlns="http://schemas.openxmlformats.org/spreadsheetml/2006/main" id="12" name="Table12" displayName="Table12" ref="A131:K137" totalsRowShown="0" headerRowDxfId="66" tableBorderDxfId="665">
  <autoFilter ref="A131:K137"/>
  <tableColumns count="11">
    <tableColumn id="1" name="Column1" dataDxfId="664"/>
    <tableColumn id="2" name="S177 Bank Vehs"/>
    <tableColumn id="3" name="2018"/>
    <tableColumn id="4" name="2019"/>
    <tableColumn id="5" name="2020"/>
    <tableColumn id="6" name="2021"/>
    <tableColumn id="7" name="2022"/>
    <tableColumn id="8" name="2023"/>
    <tableColumn id="9" name="2024"/>
    <tableColumn id="10" name="2025"/>
    <tableColumn id="11" name="Total 2018-2025" dataDxfId="663"/>
  </tableColumns>
  <tableStyleInfo name="TableStyleMedium2" showFirstColumn="0" showLastColumn="0" showRowStripes="1" showColumnStripes="0"/>
  <extLst>
    <ext xmlns:x14="http://schemas.microsoft.com/office/spreadsheetml/2009/9/main" uri="{504A1905-F514-4f6f-8877-14C23A59335A}">
      <x14:table altText="Summary Table for Scenario 2 in California and Section 177 States" altTextSummary="Summary of vehicle numbers estimated in Scenario 2.  Annual and cumulative vehicle numbers are broken out by technology type for 2018 through 2025 model year for California and Section 177 States.   "/>
    </ext>
  </extLst>
</table>
</file>

<file path=xl/tables/table12.xml><?xml version="1.0" encoding="utf-8"?>
<table xmlns="http://schemas.openxmlformats.org/spreadsheetml/2006/main" id="13" name="Table13" displayName="Table13" ref="A167:K175" totalsRowShown="0" headerRowDxfId="54" dataDxfId="53" tableBorderDxfId="662">
  <autoFilter ref="A167:K175"/>
  <tableColumns count="11">
    <tableColumn id="1" name="Column1" dataDxfId="65"/>
    <tableColumn id="2" name="CA Bank Vehs" dataDxfId="64"/>
    <tableColumn id="3" name="2018" dataDxfId="63"/>
    <tableColumn id="4" name="2019" dataDxfId="62"/>
    <tableColumn id="5" name="2020" dataDxfId="61"/>
    <tableColumn id="6" name="2021" dataDxfId="60"/>
    <tableColumn id="7" name="2022" dataDxfId="59"/>
    <tableColumn id="8" name="2023" dataDxfId="58"/>
    <tableColumn id="9" name="2024" dataDxfId="57"/>
    <tableColumn id="10" name="2025" dataDxfId="56"/>
    <tableColumn id="11" name="Total 2018-2025" dataDxfId="55"/>
  </tableColumns>
  <tableStyleInfo name="TableStyleMedium2" showFirstColumn="0" showLastColumn="0" showRowStripes="1" showColumnStripes="0"/>
  <extLst>
    <ext xmlns:x14="http://schemas.microsoft.com/office/spreadsheetml/2009/9/main" uri="{504A1905-F514-4f6f-8877-14C23A59335A}">
      <x14:table altText="Summary Table for Scenario 3 in California" altTextSummary="Summary of vehicle numbers estimated in Scenario 3.  Annual and cumulative vehicle numbers are broken out by technology type for 2018 through 2025 model year for California.   "/>
    </ext>
  </extLst>
</table>
</file>

<file path=xl/tables/table13.xml><?xml version="1.0" encoding="utf-8"?>
<table xmlns="http://schemas.openxmlformats.org/spreadsheetml/2006/main" id="14" name="Table14" displayName="Table14" ref="A176:K182" totalsRowShown="0" headerRowDxfId="52" tableBorderDxfId="661">
  <autoFilter ref="A176:K182"/>
  <tableColumns count="11">
    <tableColumn id="1" name="Column1" dataDxfId="660"/>
    <tableColumn id="2" name="S177 Bank Vehs"/>
    <tableColumn id="3" name="2018"/>
    <tableColumn id="4" name="2019"/>
    <tableColumn id="5" name="2020"/>
    <tableColumn id="6" name="2021"/>
    <tableColumn id="7" name="2022"/>
    <tableColumn id="8" name="2023"/>
    <tableColumn id="9" name="2024"/>
    <tableColumn id="10" name="2025"/>
    <tableColumn id="11" name="Total 2018-2025" dataDxfId="659"/>
  </tableColumns>
  <tableStyleInfo name="TableStyleMedium2" showFirstColumn="0" showLastColumn="0" showRowStripes="1" showColumnStripes="0"/>
  <extLst>
    <ext xmlns:x14="http://schemas.microsoft.com/office/spreadsheetml/2009/9/main" uri="{504A1905-F514-4f6f-8877-14C23A59335A}">
      <x14:table altText="Summary Table for Scenario 3 in California and Section 177 States" altTextSummary="Summary of vehicle numbers estimated in Scenario 3.  Annual and cumulative vehicle numbers are broken out by technology type for 2018 through 2025 model year for California and Section 177 States.   "/>
    </ext>
  </extLst>
</table>
</file>

<file path=xl/tables/table14.xml><?xml version="1.0" encoding="utf-8"?>
<table xmlns="http://schemas.openxmlformats.org/spreadsheetml/2006/main" id="24" name="Table24" displayName="Table24" ref="M4:O15" totalsRowShown="0" headerRowDxfId="658">
  <autoFilter ref="M4:O15"/>
  <tableColumns count="3">
    <tableColumn id="1" name="OEM" dataDxfId="657"/>
    <tableColumn id="2" name="CA Market Share" dataDxfId="656" dataCellStyle="Percent"/>
    <tableColumn id="3" name="S177 (Average) Market Share" dataDxfId="655" dataCellStyle="Percent"/>
  </tableColumns>
  <tableStyleInfo name="TableStyleMedium2" showFirstColumn="0" showLastColumn="0" showRowStripes="1" showColumnStripes="0"/>
  <extLst>
    <ext xmlns:x14="http://schemas.microsoft.com/office/spreadsheetml/2009/9/main" uri="{504A1905-F514-4f6f-8877-14C23A59335A}">
      <x14:table altText="Large Volume Manufacturer Market Share" altTextSummary="Reference table of average market shares for each large volume manufacturer, meaning those with more than 20,000 vehicle sales on average in California"/>
    </ext>
  </extLst>
</table>
</file>

<file path=xl/tables/table15.xml><?xml version="1.0" encoding="utf-8"?>
<table xmlns="http://schemas.openxmlformats.org/spreadsheetml/2006/main" id="26" name="Table26" displayName="Table26" ref="M17:O23" totalsRowShown="0">
  <autoFilter ref="M17:O23"/>
  <tableColumns count="3">
    <tableColumn id="1" name="OEM" dataDxfId="654"/>
    <tableColumn id="2" name="CA Market Share" dataDxfId="653" dataCellStyle="Percent"/>
    <tableColumn id="3" name="S177 (Average) Market Share" dataDxfId="652" dataCellStyle="Percent"/>
  </tableColumns>
  <tableStyleInfo name="TableStyleMedium2" showFirstColumn="0" showLastColumn="0" showRowStripes="1" showColumnStripes="0"/>
  <extLst>
    <ext xmlns:x14="http://schemas.microsoft.com/office/spreadsheetml/2009/9/main" uri="{504A1905-F514-4f6f-8877-14C23A59335A}">
      <x14:table altText="Intermediate Volume Manufacturer Market Share" altTextSummary="Reference table of average market shares for each intermediate volume manufacturer, meaning those with more than 4,501 but less than 20,000 vehicle sales on average in California"/>
    </ext>
  </extLst>
</table>
</file>

<file path=xl/tables/table16.xml><?xml version="1.0" encoding="utf-8"?>
<table xmlns="http://schemas.openxmlformats.org/spreadsheetml/2006/main" id="27" name="Table27" displayName="Table27" ref="K3:L5" totalsRowShown="0" headerRowDxfId="651" headerRowBorderDxfId="650" tableBorderDxfId="649" totalsRowBorderDxfId="648">
  <autoFilter ref="K3:L5"/>
  <tableColumns count="2">
    <tableColumn id="1" name="State" dataDxfId="647"/>
    <tableColumn id="3" name="% of US" dataDxfId="646"/>
  </tableColumns>
  <tableStyleInfo name="TableStyleMedium2" showFirstColumn="0" showLastColumn="0" showRowStripes="1" showColumnStripes="0"/>
  <extLst>
    <ext xmlns:x14="http://schemas.microsoft.com/office/spreadsheetml/2009/9/main" uri="{504A1905-F514-4f6f-8877-14C23A59335A}">
      <x14:table altText="Percentage of United States New Vehicle in California and Section 177 States" altTextSummary="Percentage of United States New Vehicle in California and Section 177 States, based on Polk 2015 model year sales fractions"/>
    </ext>
  </extLst>
</table>
</file>

<file path=xl/tables/table17.xml><?xml version="1.0" encoding="utf-8"?>
<table xmlns="http://schemas.openxmlformats.org/spreadsheetml/2006/main" id="28" name="Table28" displayName="Table28" ref="A2:J13" totalsRowShown="0" headerRowDxfId="645" dataDxfId="644" tableBorderDxfId="643" dataCellStyle="Comma">
  <autoFilter ref="A2:J13"/>
  <tableColumns count="10">
    <tableColumn id="1" name="Total Light Duty Vehicle Sales " dataDxfId="642" totalsRowDxfId="641"/>
    <tableColumn id="2" name="2018" dataDxfId="640" totalsRowDxfId="639" dataCellStyle="Comma"/>
    <tableColumn id="3" name="2019" dataDxfId="638" totalsRowDxfId="637" dataCellStyle="Comma"/>
    <tableColumn id="4" name="2020" dataDxfId="636" totalsRowDxfId="635" dataCellStyle="Comma"/>
    <tableColumn id="5" name="2021" dataDxfId="634" totalsRowDxfId="633" dataCellStyle="Comma"/>
    <tableColumn id="6" name="2022" dataDxfId="632" totalsRowDxfId="631" dataCellStyle="Comma"/>
    <tableColumn id="7" name="2023" dataDxfId="630" totalsRowDxfId="629" dataCellStyle="Comma"/>
    <tableColumn id="8" name="2024" dataDxfId="628" totalsRowDxfId="627" dataCellStyle="Comma"/>
    <tableColumn id="9" name="2025" dataDxfId="626" totalsRowDxfId="625" dataCellStyle="Comma"/>
    <tableColumn id="10" name="2026" dataDxfId="624" dataCellStyle="Comma"/>
  </tableColumns>
  <tableStyleInfo name="TableStyleMedium2" showFirstColumn="0" showLastColumn="0" showRowStripes="1" showColumnStripes="0"/>
  <extLst>
    <ext xmlns:x14="http://schemas.microsoft.com/office/spreadsheetml/2009/9/main" uri="{504A1905-F514-4f6f-8877-14C23A59335A}">
      <x14:table altText="Total Light Duty Vehicle Sales" altTextSummary="Calculations of light duty vehicle fleet populations to which the ZEV regulation requirements are applied.  "/>
    </ext>
  </extLst>
</table>
</file>

<file path=xl/tables/table18.xml><?xml version="1.0" encoding="utf-8"?>
<table xmlns="http://schemas.openxmlformats.org/spreadsheetml/2006/main" id="29" name="Table29" displayName="Table29" ref="A14:K22" totalsRowShown="0" headerRowDxfId="623" dataDxfId="621" headerRowBorderDxfId="622">
  <autoFilter ref="A14:K22"/>
  <tableColumns count="11">
    <tableColumn id="1" name="CA ZEV Requirement (Credits)" dataDxfId="620"/>
    <tableColumn id="2" name="2018" dataDxfId="619"/>
    <tableColumn id="3" name="2019" dataDxfId="618"/>
    <tableColumn id="4" name="2020" dataDxfId="617"/>
    <tableColumn id="5" name="2021" dataDxfId="616"/>
    <tableColumn id="6" name="2022" dataDxfId="615"/>
    <tableColumn id="7" name="2023" dataDxfId="614"/>
    <tableColumn id="8" name="2024" dataDxfId="613"/>
    <tableColumn id="9" name="2025"/>
    <tableColumn id="10" name="2026" dataDxfId="612"/>
    <tableColumn id="11" name="2018-2025 TOTALS" dataDxfId="611">
      <calculatedColumnFormula>SUM(B15:I15)</calculatedColumnFormula>
    </tableColumn>
  </tableColumns>
  <tableStyleInfo name="TableStyleMedium2" showFirstColumn="0" showLastColumn="0" showRowStripes="1" showColumnStripes="0"/>
  <extLst>
    <ext xmlns:x14="http://schemas.microsoft.com/office/spreadsheetml/2009/9/main" uri="{504A1905-F514-4f6f-8877-14C23A59335A}">
      <x14:table altText="California ZEV Requirements, In Credits" altTextSummary="Calculations for manufacturers' ZEV credit requirements before regulatory flexibilities are considered"/>
    </ext>
  </extLst>
</table>
</file>

<file path=xl/tables/table19.xml><?xml version="1.0" encoding="utf-8"?>
<table xmlns="http://schemas.openxmlformats.org/spreadsheetml/2006/main" id="30" name="Table30" displayName="Table30" ref="A163:I175" totalsRowShown="0" headerRowDxfId="610" headerRowBorderDxfId="609" tableBorderDxfId="608">
  <autoFilter ref="A163:I175"/>
  <tableColumns count="9">
    <tableColumn id="1" name="S177 State Vehicle Numbers" dataDxfId="607"/>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Total Section 177 State Vehicle Numbers" altTextSummary="Final calculation of vehicles by technology type annually through 2025 model year in the section 177 state, which includes all caps, optional compliance paths, and technology mix inputs"/>
    </ext>
  </extLst>
</table>
</file>

<file path=xl/tables/table2.xml><?xml version="1.0" encoding="utf-8"?>
<table xmlns="http://schemas.openxmlformats.org/spreadsheetml/2006/main" id="2" name="Table2" displayName="Table2" ref="A15:J20" totalsRowShown="0" headerRowDxfId="2" dataDxfId="1" headerRowBorderDxfId="700" tableBorderDxfId="699">
  <autoFilter ref="A15:J20"/>
  <tableColumns count="10">
    <tableColumn id="1" name="Technology Mix/Vehicle Numbers" dataDxfId="12"/>
    <tableColumn id="2" name="AER Growth Rate" dataDxfId="11" dataCellStyle="Percent"/>
    <tableColumn id="3" name="2018" dataDxfId="10"/>
    <tableColumn id="4" name="2019" dataDxfId="9"/>
    <tableColumn id="5" name="2020" dataDxfId="8"/>
    <tableColumn id="6" name="2021" dataDxfId="7"/>
    <tableColumn id="7" name="2022" dataDxfId="6"/>
    <tableColumn id="8" name="2023" dataDxfId="5"/>
    <tableColumn id="9" name="2024" dataDxfId="4"/>
    <tableColumn id="10" name="2025" dataDxfId="3"/>
  </tableColumns>
  <tableStyleInfo name="TableStyleMedium2" showFirstColumn="0" showLastColumn="0" showRowStripes="1" showColumnStripes="0"/>
  <extLst>
    <ext xmlns:x14="http://schemas.microsoft.com/office/spreadsheetml/2009/9/main" uri="{504A1905-F514-4f6f-8877-14C23A59335A}">
      <x14:table altText="Technology Mix and Vehicle Inputs for Scenario 2" altTextSummary="Input table for changing key technology mix and vehicle parameters for Scenario 2."/>
    </ext>
  </extLst>
</table>
</file>

<file path=xl/tables/table20.xml><?xml version="1.0" encoding="utf-8"?>
<table xmlns="http://schemas.openxmlformats.org/spreadsheetml/2006/main" id="31" name="Table31" displayName="Table31" ref="A146:I162" totalsRowShown="0" headerRowDxfId="606" dataDxfId="604" headerRowBorderDxfId="605" tableBorderDxfId="603">
  <autoFilter ref="A146:I162"/>
  <tableColumns count="9">
    <tableColumn id="1" name="CA Vehicle Numbers" dataDxfId="602"/>
    <tableColumn id="2" name="2018" dataDxfId="601"/>
    <tableColumn id="3" name="2019" dataDxfId="600"/>
    <tableColumn id="4" name="2020" dataDxfId="599"/>
    <tableColumn id="5" name="2021" dataDxfId="598"/>
    <tableColumn id="6" name="2022" dataDxfId="597"/>
    <tableColumn id="7" name="2023" dataDxfId="596"/>
    <tableColumn id="8" name="2024" dataDxfId="595"/>
    <tableColumn id="9" name="2025" dataDxfId="594"/>
  </tableColumns>
  <tableStyleInfo name="TableStyleMedium2" showFirstColumn="0" showLastColumn="0" showRowStripes="1" showColumnStripes="0"/>
  <extLst>
    <ext xmlns:x14="http://schemas.microsoft.com/office/spreadsheetml/2009/9/main" uri="{504A1905-F514-4f6f-8877-14C23A59335A}">
      <x14:table altText="Total California Vehicle Numbers" altTextSummary="Final calculation of vehicles by technology type annually through 2025 model year in California, which includes all caps, optional compliance paths, and technology mix inputs"/>
    </ext>
  </extLst>
</table>
</file>

<file path=xl/tables/table21.xml><?xml version="1.0" encoding="utf-8"?>
<table xmlns="http://schemas.openxmlformats.org/spreadsheetml/2006/main" id="32" name="Table32" displayName="Table32" ref="A117:I145" totalsRowShown="0" headerRowDxfId="593" headerRowBorderDxfId="592" tableBorderDxfId="591">
  <autoFilter ref="A117:I145"/>
  <tableColumns count="9">
    <tableColumn id="1" name="Technology Mix/Vehicle Numbers" dataDxfId="590"/>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Technology Mix and Vehicle Mix Input Table" altTextSummary="Input table for user to make decisions about vehicle range and vehicle mix.  Input table is used for both California and Section 177 State calculations."/>
    </ext>
  </extLst>
</table>
</file>

<file path=xl/tables/table22.xml><?xml version="1.0" encoding="utf-8"?>
<table xmlns="http://schemas.openxmlformats.org/spreadsheetml/2006/main" id="33" name="Table33" displayName="Table33" ref="A100:I116" totalsRowShown="0" headerRowDxfId="589" dataDxfId="588" tableBorderDxfId="587" dataCellStyle="Percent">
  <autoFilter ref="A100:I116"/>
  <tableColumns count="9">
    <tableColumn id="1" name="Adjusted S177 Credit Requirement" dataDxfId="586"/>
    <tableColumn id="2" name="2018" dataDxfId="585" dataCellStyle="Percent"/>
    <tableColumn id="3" name="2019" dataDxfId="584" dataCellStyle="Percent"/>
    <tableColumn id="4" name="2020" dataDxfId="583" dataCellStyle="Percent"/>
    <tableColumn id="5" name="2021" dataDxfId="582" dataCellStyle="Percent"/>
    <tableColumn id="6" name="2022" dataDxfId="581" dataCellStyle="Percent"/>
    <tableColumn id="7" name="2023" dataDxfId="580" dataCellStyle="Percent"/>
    <tableColumn id="8" name="2024" dataDxfId="579" dataCellStyle="Percent"/>
    <tableColumn id="9" name="2025" dataDxfId="578" dataCellStyle="Percent"/>
  </tableColumns>
  <tableStyleInfo name="TableStyleMedium2" showFirstColumn="0" showLastColumn="0" showRowStripes="1" showColumnStripes="0"/>
  <extLst>
    <ext xmlns:x14="http://schemas.microsoft.com/office/spreadsheetml/2009/9/main" uri="{504A1905-F514-4f6f-8877-14C23A59335A}">
      <x14:table altText="Adjusted Section 177 State Credit Requirement" altTextSummary="Table which recalculates the number of credits required by taking into consideration credit caps, optional compliance paths, and historical credits for the Section 177 States."/>
    </ext>
  </extLst>
</table>
</file>

<file path=xl/tables/table23.xml><?xml version="1.0" encoding="utf-8"?>
<table xmlns="http://schemas.openxmlformats.org/spreadsheetml/2006/main" id="34" name="Table34" displayName="Table34" ref="A83:I99" totalsRowShown="0" headerRowDxfId="577" dataDxfId="575" headerRowBorderDxfId="576" tableBorderDxfId="574" dataCellStyle="Percent">
  <autoFilter ref="A83:I99"/>
  <tableColumns count="9">
    <tableColumn id="1" name="Adjusted CA Credit Requirement" dataDxfId="573"/>
    <tableColumn id="2" name="2018" dataDxfId="572" dataCellStyle="Percent"/>
    <tableColumn id="3" name="2019" dataDxfId="571" dataCellStyle="Percent"/>
    <tableColumn id="4" name="2020" dataDxfId="570" dataCellStyle="Percent"/>
    <tableColumn id="5" name="2021" dataDxfId="569" dataCellStyle="Percent"/>
    <tableColumn id="6" name="2022" dataDxfId="568" dataCellStyle="Percent"/>
    <tableColumn id="7" name="2023" dataDxfId="567" dataCellStyle="Percent"/>
    <tableColumn id="8" name="2024" dataDxfId="566" dataCellStyle="Percent"/>
    <tableColumn id="9" name="2025" dataDxfId="565" dataCellStyle="Percent"/>
  </tableColumns>
  <tableStyleInfo name="TableStyleMedium2" showFirstColumn="0" showLastColumn="0" showRowStripes="1" showColumnStripes="0"/>
  <extLst>
    <ext xmlns:x14="http://schemas.microsoft.com/office/spreadsheetml/2009/9/main" uri="{504A1905-F514-4f6f-8877-14C23A59335A}">
      <x14:table altText="Adjusted California Credit Requirement" altTextSummary="Table which recalculates the number of credits required by taking into consideration credit caps, optional compliance paths, and historical credits for California."/>
    </ext>
  </extLst>
</table>
</file>

<file path=xl/tables/table24.xml><?xml version="1.0" encoding="utf-8"?>
<table xmlns="http://schemas.openxmlformats.org/spreadsheetml/2006/main" id="35" name="Table35" displayName="Table35" ref="A73:G75" totalsRowShown="0" headerRowDxfId="564" tableBorderDxfId="563">
  <autoFilter ref="A73:G75"/>
  <tableColumns count="7">
    <tableColumn id="1" name="S177 Banked Credit Inputs" dataDxfId="562"/>
    <tableColumn id="2" name="Industry Credits" dataDxfId="561"/>
    <tableColumn id="3" name="LVM Difference" dataDxfId="560">
      <calculatedColumnFormula>IF((B74-(J30*D74)-E74)&gt;0, (B74-(I30*D74)-E74), 0)</calculatedColumnFormula>
    </tableColumn>
    <tableColumn id="4" name="2026 LVM Margin" dataDxfId="559" dataCellStyle="Percent"/>
    <tableColumn id="5" name="IVM"/>
    <tableColumn id="6" name="IVM Difference"/>
    <tableColumn id="7" name="2026 IVM Margin"/>
  </tableColumns>
  <tableStyleInfo name="TableStyleMedium2" showFirstColumn="0" showLastColumn="0" showRowStripes="1" showColumnStripes="0"/>
  <extLst>
    <ext xmlns:x14="http://schemas.microsoft.com/office/spreadsheetml/2009/9/main" uri="{504A1905-F514-4f6f-8877-14C23A59335A}">
      <x14:table altText="Section 177 State Banked Credit Inputs" altTextSummary="Inputs used to calculate the effect of banked credits in the Section 177 States, meaning credits earned or traveled prior to 2018 model year.  "/>
    </ext>
  </extLst>
</table>
</file>

<file path=xl/tables/table25.xml><?xml version="1.0" encoding="utf-8"?>
<table xmlns="http://schemas.openxmlformats.org/spreadsheetml/2006/main" id="36" name="Table36" displayName="Table36" ref="A76:I82" totalsRowShown="0" headerRowDxfId="558" dataDxfId="557" tableBorderDxfId="556">
  <autoFilter ref="A76:I82"/>
  <tableColumns count="9">
    <tableColumn id="1" name="S177 Banked Credit Calculations" dataDxfId="555"/>
    <tableColumn id="2" name="2018" dataDxfId="554"/>
    <tableColumn id="3" name="2019" dataDxfId="553"/>
    <tableColumn id="4" name="2020" dataDxfId="552"/>
    <tableColumn id="5" name="2021" dataDxfId="551"/>
    <tableColumn id="6" name="2022" dataDxfId="550"/>
    <tableColumn id="7" name="2023" dataDxfId="549"/>
    <tableColumn id="8" name="2024" dataDxfId="548"/>
    <tableColumn id="9" name="2025" dataDxfId="547"/>
  </tableColumns>
  <tableStyleInfo name="TableStyleMedium2" showFirstColumn="0" showLastColumn="0" showRowStripes="1" showColumnStripes="0"/>
  <extLst>
    <ext xmlns:x14="http://schemas.microsoft.com/office/spreadsheetml/2009/9/main" uri="{504A1905-F514-4f6f-8877-14C23A59335A}">
      <x14:table altText="Section 177 State Banked Credit Calculations" altTextSummary="Calculates the portion of manufacturers' requirements in the Section 177 States that would be met with banked credits, meaning credits earned prior to 2018 model year."/>
    </ext>
  </extLst>
</table>
</file>

<file path=xl/tables/table26.xml><?xml version="1.0" encoding="utf-8"?>
<table xmlns="http://schemas.openxmlformats.org/spreadsheetml/2006/main" id="37" name="Table37" displayName="Table37" ref="A66:I72" totalsRowShown="0" headerRowDxfId="546" dataDxfId="544" headerRowBorderDxfId="545" tableBorderDxfId="543">
  <autoFilter ref="A66:I72"/>
  <tableColumns count="9">
    <tableColumn id="1" name="CA Banked Credits Calculations" dataDxfId="542"/>
    <tableColumn id="2" name="2018" dataDxfId="541"/>
    <tableColumn id="3" name="2019" dataDxfId="540"/>
    <tableColumn id="4" name="2020" dataDxfId="539"/>
    <tableColumn id="5" name="2021" dataDxfId="538"/>
    <tableColumn id="6" name="2022" dataDxfId="537"/>
    <tableColumn id="7" name="2023" dataDxfId="536"/>
    <tableColumn id="8" name="2024" dataDxfId="535"/>
    <tableColumn id="9" name="2025" dataDxfId="534"/>
  </tableColumns>
  <tableStyleInfo name="TableStyleMedium2" showFirstColumn="0" showLastColumn="0" showRowStripes="1" showColumnStripes="0"/>
  <extLst>
    <ext xmlns:x14="http://schemas.microsoft.com/office/spreadsheetml/2009/9/main" uri="{504A1905-F514-4f6f-8877-14C23A59335A}">
      <x14:table altText="California Banked Credit Calculations" altTextSummary="Calculates the portion of manufacturers' requirements in California that would be met with banked credits, meaning credits earned prior to 2018 model year."/>
    </ext>
  </extLst>
</table>
</file>

<file path=xl/tables/table27.xml><?xml version="1.0" encoding="utf-8"?>
<table xmlns="http://schemas.openxmlformats.org/spreadsheetml/2006/main" id="38" name="Table38" displayName="Table38" ref="A63:G65" totalsRowShown="0" headerRowDxfId="533" tableBorderDxfId="532">
  <autoFilter ref="A63:G65"/>
  <tableColumns count="7">
    <tableColumn id="1" name="CA Banked Credits Inputs" dataDxfId="531"/>
    <tableColumn id="2" name="Industry Credits" dataDxfId="530"/>
    <tableColumn id="3" name="LVM Difference" dataDxfId="529">
      <calculatedColumnFormula>IF(((B64-(J18*D64)-E64)&gt;0), (B64-(J18*D64)-E64), 0)</calculatedColumnFormula>
    </tableColumn>
    <tableColumn id="4" name="2026 LVM Margin" dataDxfId="528" dataCellStyle="Percent"/>
    <tableColumn id="5" name="IVM"/>
    <tableColumn id="6" name="IVM Difference"/>
    <tableColumn id="7" name="2026 IVM Margin"/>
  </tableColumns>
  <tableStyleInfo name="TableStyleMedium2" showFirstColumn="0" showLastColumn="0" showRowStripes="1" showColumnStripes="0"/>
  <extLst>
    <ext xmlns:x14="http://schemas.microsoft.com/office/spreadsheetml/2009/9/main" uri="{504A1905-F514-4f6f-8877-14C23A59335A}">
      <x14:table altText="California Banked Credits Inputs" altTextSummary="Inputs used to calculate the effect of banked credits in California, meaning credits earned prior to 2018 model year.  "/>
    </ext>
  </extLst>
</table>
</file>

<file path=xl/tables/table28.xml><?xml version="1.0" encoding="utf-8"?>
<table xmlns="http://schemas.openxmlformats.org/spreadsheetml/2006/main" id="39" name="Table39" displayName="Table39" ref="A58:I62" totalsRowShown="0" headerRowDxfId="527" headerRowBorderDxfId="526" tableBorderDxfId="525">
  <autoFilter ref="A58:I62"/>
  <tableColumns count="9">
    <tableColumn id="1" name="S177 Historical PZEV, AT PZEV, and NEV Credits" dataDxfId="524"/>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Section 177 State Historical PZEV, AT PZEV, and NEV Credit Calculations" altTextSummary="Calculates the effect of historical PZEV, AT PZEV, and NEV credit cap on manufacturer's California ZEV credit obligations, based on the number of manufacturer exercising this regulatory flexibility"/>
    </ext>
  </extLst>
</table>
</file>

<file path=xl/tables/table29.xml><?xml version="1.0" encoding="utf-8"?>
<table xmlns="http://schemas.openxmlformats.org/spreadsheetml/2006/main" id="40" name="Table40" displayName="Table40" ref="A53:I57" totalsRowShown="0" headerRowDxfId="523" headerRowBorderDxfId="522" tableBorderDxfId="521">
  <autoFilter ref="A53:I57"/>
  <tableColumns count="9">
    <tableColumn id="1" name="CA Historical PZEV, AT PZEV and NEV Credits" dataDxfId="520"/>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California Historical PZEV, AT PZEV, and NEV Credit Calculations" altTextSummary="Calculates the effect of historical PZEV, AT PZEV, and NEV credit cap on manufacturer's California ZEV credit obligations, based on the number of manufacturer exercising this regulatory flexibility"/>
    </ext>
  </extLst>
</table>
</file>

<file path=xl/tables/table3.xml><?xml version="1.0" encoding="utf-8"?>
<table xmlns="http://schemas.openxmlformats.org/spreadsheetml/2006/main" id="3" name="Table3" displayName="Table3" ref="A22:J27" totalsRowShown="0" headerRowDxfId="0" headerRowBorderDxfId="698" tableBorderDxfId="697">
  <autoFilter ref="A22:J27"/>
  <tableColumns count="10">
    <tableColumn id="1" name="Technology Mix/Vehicle Numbers"/>
    <tableColumn id="2" name="AER Growth Rate" dataDxfId="696" dataCellStyle="Percent"/>
    <tableColumn id="3" name="2018" dataDxfId="695"/>
    <tableColumn id="4" name="2019"/>
    <tableColumn id="5" name="2020"/>
    <tableColumn id="6" name="2021"/>
    <tableColumn id="7" name="2022"/>
    <tableColumn id="8" name="2023"/>
    <tableColumn id="9" name="2024"/>
    <tableColumn id="10" name="2025"/>
  </tableColumns>
  <tableStyleInfo name="TableStyleMedium2" showFirstColumn="0" showLastColumn="0" showRowStripes="1" showColumnStripes="0"/>
  <extLst>
    <ext xmlns:x14="http://schemas.microsoft.com/office/spreadsheetml/2009/9/main" uri="{504A1905-F514-4f6f-8877-14C23A59335A}">
      <x14:table altText="Technology Mix and Vehicle Inputs for Scenario 3" altTextSummary="Input table for changing key technology mix and vehicle parameters for Scenario 3."/>
    </ext>
  </extLst>
</table>
</file>

<file path=xl/tables/table30.xml><?xml version="1.0" encoding="utf-8"?>
<table xmlns="http://schemas.openxmlformats.org/spreadsheetml/2006/main" id="41" name="Table41" displayName="Table41" ref="A50:I52" totalsRowShown="0" headerRowDxfId="519" dataDxfId="517" headerRowBorderDxfId="518" tableBorderDxfId="516">
  <autoFilter ref="A50:I52"/>
  <tableColumns count="9">
    <tableColumn id="1" name="Historical PZEV, AT PZEV and NEV Credit Inputs" dataDxfId="515"/>
    <tableColumn id="2" name="2018" dataDxfId="514"/>
    <tableColumn id="3" name="2019" dataDxfId="513">
      <calculatedColumnFormula>$B$52</calculatedColumnFormula>
    </tableColumn>
    <tableColumn id="4" name="2020" dataDxfId="512">
      <calculatedColumnFormula>$B$52</calculatedColumnFormula>
    </tableColumn>
    <tableColumn id="5" name="2021" dataDxfId="511">
      <calculatedColumnFormula>$B$52</calculatedColumnFormula>
    </tableColumn>
    <tableColumn id="6" name="2022" dataDxfId="510">
      <calculatedColumnFormula>$B$52</calculatedColumnFormula>
    </tableColumn>
    <tableColumn id="7" name="2023" dataDxfId="509">
      <calculatedColumnFormula>$B$52</calculatedColumnFormula>
    </tableColumn>
    <tableColumn id="8" name="2024" dataDxfId="508">
      <calculatedColumnFormula>$B$52</calculatedColumnFormula>
    </tableColumn>
    <tableColumn id="9" name="2025" dataDxfId="507">
      <calculatedColumnFormula>$B$52</calculatedColumnFormula>
    </tableColumn>
  </tableColumns>
  <tableStyleInfo name="TableStyleMedium2" showFirstColumn="0" showLastColumn="0" showRowStripes="1" showColumnStripes="0"/>
  <extLst>
    <ext xmlns:x14="http://schemas.microsoft.com/office/spreadsheetml/2009/9/main" uri="{504A1905-F514-4f6f-8877-14C23A59335A}">
      <x14:table altText="Historical PZEV, AT PZEV, and NEV Credit Inputs" altTextSummary="Input table for manufacturers choosing to spend credits from partial zero emission, advanced technology partial zero emission, and neighborhood electric vehicles, which can only fulfill a small portion of each manufacturers' requirement. "/>
    </ext>
  </extLst>
</table>
</file>

<file path=xl/tables/table31.xml><?xml version="1.0" encoding="utf-8"?>
<table xmlns="http://schemas.openxmlformats.org/spreadsheetml/2006/main" id="42" name="Table42" displayName="Table42" ref="A44:E49" totalsRowShown="0" headerRowDxfId="506" dataDxfId="505" tableBorderDxfId="504">
  <autoFilter ref="A44:E49"/>
  <tableColumns count="5">
    <tableColumn id="1" name="S177 GHG Over-Compliance " dataDxfId="503"/>
    <tableColumn id="2" name="2018" dataDxfId="502"/>
    <tableColumn id="3" name="2019" dataDxfId="501"/>
    <tableColumn id="4" name="2020" dataDxfId="500"/>
    <tableColumn id="5" name="2021" dataDxfId="499"/>
  </tableColumns>
  <tableStyleInfo name="TableStyleMedium2" showFirstColumn="0" showLastColumn="0" showRowStripes="1" showColumnStripes="0"/>
  <extLst>
    <ext xmlns:x14="http://schemas.microsoft.com/office/spreadsheetml/2009/9/main" uri="{504A1905-F514-4f6f-8877-14C23A59335A}">
      <x14:table altText="Section 177 State Greenhouse Gas Over-Compliance Calculations" altTextSummary="Calculation of effect of the greenhouse gas over compliance provision on manufacturer's Section 177 State credit obligation"/>
    </ext>
  </extLst>
</table>
</file>

<file path=xl/tables/table32.xml><?xml version="1.0" encoding="utf-8"?>
<table xmlns="http://schemas.openxmlformats.org/spreadsheetml/2006/main" id="43" name="Table43" displayName="Table43" ref="A38:E43" totalsRowShown="0" headerRowDxfId="498" dataDxfId="497" tableBorderDxfId="496">
  <autoFilter ref="A38:E43"/>
  <tableColumns count="5">
    <tableColumn id="1" name="CA GHG Over-Compliance" dataDxfId="495"/>
    <tableColumn id="2" name="2018" dataDxfId="494"/>
    <tableColumn id="3" name="2019" dataDxfId="493"/>
    <tableColumn id="4" name="2020" dataDxfId="492"/>
    <tableColumn id="5" name="2021" dataDxfId="491"/>
  </tableColumns>
  <tableStyleInfo name="TableStyleMedium2" showFirstColumn="0" showLastColumn="0" showRowStripes="1" showColumnStripes="0"/>
  <extLst>
    <ext xmlns:x14="http://schemas.microsoft.com/office/spreadsheetml/2009/9/main" uri="{504A1905-F514-4f6f-8877-14C23A59335A}">
      <x14:table altText="California Greenhouse Gas Over-Compliance Calculations" altTextSummary="Calculation of effect of the greenhouse gas over compliance provision on manufacturer's California credit obligation"/>
    </ext>
  </extLst>
</table>
</file>

<file path=xl/tables/table33.xml><?xml version="1.0" encoding="utf-8"?>
<table xmlns="http://schemas.openxmlformats.org/spreadsheetml/2006/main" id="44" name="Table44" displayName="Table44" ref="A35:E37" totalsRowShown="0" headerRowDxfId="490" tableBorderDxfId="489">
  <autoFilter ref="A35:E37"/>
  <tableColumns count="5">
    <tableColumn id="1" name="GHG Over-Compliance" dataDxfId="488"/>
    <tableColumn id="2" name="2018" dataDxfId="487"/>
    <tableColumn id="3" name="2019" dataDxfId="486">
      <calculatedColumnFormula>B36</calculatedColumnFormula>
    </tableColumn>
    <tableColumn id="4" name="2020" dataDxfId="485">
      <calculatedColumnFormula>B36</calculatedColumnFormula>
    </tableColumn>
    <tableColumn id="5" name="2021" dataDxfId="484">
      <calculatedColumnFormula>B36</calculatedColumnFormula>
    </tableColumn>
  </tableColumns>
  <tableStyleInfo name="TableStyleMedium2" showFirstColumn="0" showLastColumn="0" showRowStripes="1" showColumnStripes="0"/>
  <extLst>
    <ext xmlns:x14="http://schemas.microsoft.com/office/spreadsheetml/2009/9/main" uri="{504A1905-F514-4f6f-8877-14C23A59335A}">
      <x14:table altText="Greenhouse Gas Over Compliance Inputs" altTextSummary="Inputs to calculate greenhouse gas over compliance provision.  Users input percent of manufactures taking this provision for 2018, which automatically copies over through 2021, because manufacturers choose this path for all 4 model years, and for both California and Section 177 states."/>
    </ext>
  </extLst>
</table>
</file>

<file path=xl/tables/table34.xml><?xml version="1.0" encoding="utf-8"?>
<table xmlns="http://schemas.openxmlformats.org/spreadsheetml/2006/main" id="45" name="Table45" displayName="Table45" ref="A23:K34" totalsRowShown="0" headerRowDxfId="483" dataDxfId="481" headerRowBorderDxfId="482" tableBorderDxfId="480" totalsRowBorderDxfId="479">
  <autoFilter ref="A23:K34"/>
  <tableColumns count="11">
    <tableColumn id="1" name="S177 ZEV Requirement (Credits)" dataDxfId="478"/>
    <tableColumn id="2" name="2018" dataDxfId="477"/>
    <tableColumn id="3" name="2019" dataDxfId="476"/>
    <tableColumn id="4" name="2020" dataDxfId="475"/>
    <tableColumn id="5" name="2021" dataDxfId="474"/>
    <tableColumn id="6" name="2022" dataDxfId="473"/>
    <tableColumn id="7" name="2023" dataDxfId="472"/>
    <tableColumn id="8" name="2024" dataDxfId="471"/>
    <tableColumn id="9" name="2025" dataDxfId="470"/>
    <tableColumn id="10" name="2026" dataDxfId="469"/>
    <tableColumn id="11" name="2018-2025 TOTALS" dataDxfId="468">
      <calculatedColumnFormula>SUM(B24:I24)</calculatedColumnFormula>
    </tableColumn>
  </tableColumns>
  <tableStyleInfo name="TableStyleMedium2" showFirstColumn="0" showLastColumn="0" showRowStripes="1" showColumnStripes="0"/>
  <extLst>
    <ext xmlns:x14="http://schemas.microsoft.com/office/spreadsheetml/2009/9/main" uri="{504A1905-F514-4f6f-8877-14C23A59335A}">
      <x14:table altText="Section 177 State ZEV Requirements, In Credits" altTextSummary="Calculations for manufacturers' ZEV credit requirements in the Section 177 States before regulatory flexibilities are considered"/>
    </ext>
  </extLst>
</table>
</file>

<file path=xl/tables/table35.xml><?xml version="1.0" encoding="utf-8"?>
<table xmlns="http://schemas.openxmlformats.org/spreadsheetml/2006/main" id="18" name="Table18" displayName="Table18" ref="A2:J13" totalsRowShown="0" headerRowDxfId="467" dataDxfId="466" tableBorderDxfId="465" dataCellStyle="Comma">
  <autoFilter ref="A2:J13"/>
  <tableColumns count="10">
    <tableColumn id="1" name="Total Light Duty Vehicle Sales " dataDxfId="464" totalsRowDxfId="463"/>
    <tableColumn id="2" name="2018" dataDxfId="462" totalsRowDxfId="461" dataCellStyle="Comma"/>
    <tableColumn id="3" name="2019" dataDxfId="460" totalsRowDxfId="459" dataCellStyle="Comma"/>
    <tableColumn id="4" name="2020" dataDxfId="458" totalsRowDxfId="457" dataCellStyle="Comma"/>
    <tableColumn id="5" name="2021" dataDxfId="456" totalsRowDxfId="455" dataCellStyle="Comma"/>
    <tableColumn id="6" name="2022" dataDxfId="454" totalsRowDxfId="453" dataCellStyle="Comma"/>
    <tableColumn id="7" name="2023" dataDxfId="452" totalsRowDxfId="451" dataCellStyle="Comma"/>
    <tableColumn id="8" name="2024" dataDxfId="450" totalsRowDxfId="449" dataCellStyle="Comma"/>
    <tableColumn id="9" name="2025" dataDxfId="448" totalsRowDxfId="447" dataCellStyle="Comma"/>
    <tableColumn id="10" name="2026" dataDxfId="446" totalsRowDxfId="445" dataCellStyle="Comma"/>
  </tableColumns>
  <tableStyleInfo name="TableStyleMedium2" showFirstColumn="0" showLastColumn="0" showRowStripes="1" showColumnStripes="0"/>
  <extLst>
    <ext xmlns:x14="http://schemas.microsoft.com/office/spreadsheetml/2009/9/main" uri="{504A1905-F514-4f6f-8877-14C23A59335A}">
      <x14:table altText="Total Light Duty Vehicle Sales" altTextSummary="Calculations of light duty vehicle fleet populations to which the ZEV regulation requirements are applied.  "/>
    </ext>
  </extLst>
</table>
</file>

<file path=xl/tables/table36.xml><?xml version="1.0" encoding="utf-8"?>
<table xmlns="http://schemas.openxmlformats.org/spreadsheetml/2006/main" id="20" name="Table2421" displayName="Table2421" ref="M4:O15" totalsRowShown="0" headerRowDxfId="444">
  <autoFilter ref="M4:O15"/>
  <tableColumns count="3">
    <tableColumn id="1" name="OEM" dataDxfId="443"/>
    <tableColumn id="2" name="CA Market Share" dataDxfId="442" dataCellStyle="Percent"/>
    <tableColumn id="3" name="S177 (Average) Market Share" dataDxfId="441" dataCellStyle="Percent"/>
  </tableColumns>
  <tableStyleInfo name="TableStyleMedium2" showFirstColumn="0" showLastColumn="0" showRowStripes="1" showColumnStripes="0"/>
  <extLst>
    <ext xmlns:x14="http://schemas.microsoft.com/office/spreadsheetml/2009/9/main" uri="{504A1905-F514-4f6f-8877-14C23A59335A}">
      <x14:table altText="Large Volume Manufacturer Market Share" altTextSummary="Reference table of average market shares for each large volume manufacturer, meaning those with more than 20,000 vehicle sales on average in California"/>
    </ext>
  </extLst>
</table>
</file>

<file path=xl/tables/table37.xml><?xml version="1.0" encoding="utf-8"?>
<table xmlns="http://schemas.openxmlformats.org/spreadsheetml/2006/main" id="21" name="Table2622" displayName="Table2622" ref="M17:O23" totalsRowShown="0">
  <autoFilter ref="M17:O23"/>
  <tableColumns count="3">
    <tableColumn id="1" name="OEM" dataDxfId="440"/>
    <tableColumn id="2" name="CA Market Share" dataDxfId="439" dataCellStyle="Percent"/>
    <tableColumn id="3" name="S177 (Average) Market Share" dataDxfId="438" dataCellStyle="Percent"/>
  </tableColumns>
  <tableStyleInfo name="TableStyleMedium2" showFirstColumn="0" showLastColumn="0" showRowStripes="1" showColumnStripes="0"/>
  <extLst>
    <ext xmlns:x14="http://schemas.microsoft.com/office/spreadsheetml/2009/9/main" uri="{504A1905-F514-4f6f-8877-14C23A59335A}">
      <x14:table altText="Intermediate Volume Manufacturer Market Share" altTextSummary="Reference table of average market shares for each intermediate volume manufacturer, meaning those with more than 4,501 but less than 20,000 vehicle sales on average in California"/>
    </ext>
  </extLst>
</table>
</file>

<file path=xl/tables/table38.xml><?xml version="1.0" encoding="utf-8"?>
<table xmlns="http://schemas.openxmlformats.org/spreadsheetml/2006/main" id="22" name="Table2923" displayName="Table2923" ref="A14:K22" totalsRowShown="0" headerRowDxfId="437" dataDxfId="435" headerRowBorderDxfId="436">
  <autoFilter ref="A14:K22"/>
  <tableColumns count="11">
    <tableColumn id="1" name="CA ZEV Requirement (Credits)" dataDxfId="434"/>
    <tableColumn id="2" name="2018" dataDxfId="433"/>
    <tableColumn id="3" name="2019" dataDxfId="432"/>
    <tableColumn id="4" name="2020" dataDxfId="431"/>
    <tableColumn id="5" name="2021" dataDxfId="430"/>
    <tableColumn id="6" name="2022" dataDxfId="429"/>
    <tableColumn id="7" name="2023" dataDxfId="428"/>
    <tableColumn id="8" name="2024" dataDxfId="427"/>
    <tableColumn id="9" name="2025"/>
    <tableColumn id="10" name="2026" dataDxfId="426"/>
    <tableColumn id="11" name="2018-2025 TOTALS" dataDxfId="425">
      <calculatedColumnFormula>SUM(B15:I15)</calculatedColumnFormula>
    </tableColumn>
  </tableColumns>
  <tableStyleInfo name="TableStyleMedium2" showFirstColumn="0" showLastColumn="0" showRowStripes="1" showColumnStripes="0"/>
  <extLst>
    <ext xmlns:x14="http://schemas.microsoft.com/office/spreadsheetml/2009/9/main" uri="{504A1905-F514-4f6f-8877-14C23A59335A}">
      <x14:table altText="California ZEV Requirements, In Credits" altTextSummary="Calculations for manufacturers' ZEV credit requirements before regulatory flexibilities are considered"/>
    </ext>
  </extLst>
</table>
</file>

<file path=xl/tables/table39.xml><?xml version="1.0" encoding="utf-8"?>
<table xmlns="http://schemas.openxmlformats.org/spreadsheetml/2006/main" id="23" name="Table4524" displayName="Table4524" ref="A23:K34" totalsRowShown="0" headerRowDxfId="424" dataDxfId="422" headerRowBorderDxfId="423" tableBorderDxfId="421" totalsRowBorderDxfId="420">
  <autoFilter ref="A23:K34"/>
  <tableColumns count="11">
    <tableColumn id="1" name="S177 ZEV Requirement (Credits)" dataDxfId="419"/>
    <tableColumn id="2" name="2018" dataDxfId="418"/>
    <tableColumn id="3" name="2019" dataDxfId="417"/>
    <tableColumn id="4" name="2020" dataDxfId="416"/>
    <tableColumn id="5" name="2021" dataDxfId="415"/>
    <tableColumn id="6" name="2022" dataDxfId="414"/>
    <tableColumn id="7" name="2023" dataDxfId="413"/>
    <tableColumn id="8" name="2024" dataDxfId="412"/>
    <tableColumn id="9" name="2025" dataDxfId="411"/>
    <tableColumn id="10" name="2026" dataDxfId="410"/>
    <tableColumn id="11" name="2018-2025 TOTALS" dataDxfId="409">
      <calculatedColumnFormula>SUM(B24:I24)</calculatedColumnFormula>
    </tableColumn>
  </tableColumns>
  <tableStyleInfo name="TableStyleMedium2" showFirstColumn="0" showLastColumn="0" showRowStripes="1" showColumnStripes="0"/>
  <extLst>
    <ext xmlns:x14="http://schemas.microsoft.com/office/spreadsheetml/2009/9/main" uri="{504A1905-F514-4f6f-8877-14C23A59335A}">
      <x14:table altText="Section 177 State ZEV Requirements, In Credits" altTextSummary="Calculations for manufacturers' ZEV credit requirements in the Section 177 States before regulatory flexibilities are considered"/>
    </ext>
  </extLst>
</table>
</file>

<file path=xl/tables/table4.xml><?xml version="1.0" encoding="utf-8"?>
<table xmlns="http://schemas.openxmlformats.org/spreadsheetml/2006/main" id="4" name="Table4" displayName="Table4" ref="A30:J37" totalsRowShown="0" headerRowDxfId="27" dataDxfId="26" tableBorderDxfId="694">
  <autoFilter ref="A30:J37"/>
  <tableColumns count="10">
    <tableColumn id="1" name="Column1" dataDxfId="37"/>
    <tableColumn id="2" name="2018" dataDxfId="36"/>
    <tableColumn id="3" name="2019" dataDxfId="35"/>
    <tableColumn id="4" name="2020" dataDxfId="34"/>
    <tableColumn id="5" name="2021" dataDxfId="33"/>
    <tableColumn id="6" name="2022" dataDxfId="32"/>
    <tableColumn id="7" name="2023" dataDxfId="31"/>
    <tableColumn id="8" name="2024" dataDxfId="30"/>
    <tableColumn id="9" name="2025" dataDxfId="29"/>
    <tableColumn id="10" name="Total 2018-2025" dataDxfId="28"/>
  </tableColumns>
  <tableStyleInfo name="TableStyleMedium2" showFirstColumn="0" showLastColumn="0" showRowStripes="1" showColumnStripes="0"/>
  <extLst>
    <ext xmlns:x14="http://schemas.microsoft.com/office/spreadsheetml/2009/9/main" uri="{504A1905-F514-4f6f-8877-14C23A59335A}">
      <x14:table altText="Summary Table for 2012 ACC Scenario in California" altTextSummary="Summary of vehicle numbers estimated in the 2012 scenarios during the Advanced Clean Cars rulemaking.  Annual and cumulative vehicle numbers are broken out by technology type for 2018 through 2025 model year for California.  "/>
    </ext>
  </extLst>
</table>
</file>

<file path=xl/tables/table40.xml><?xml version="1.0" encoding="utf-8"?>
<table xmlns="http://schemas.openxmlformats.org/spreadsheetml/2006/main" id="25" name="Table4426" displayName="Table4426" ref="A35:E37" totalsRowShown="0" headerRowDxfId="408" tableBorderDxfId="407">
  <autoFilter ref="A35:E37"/>
  <tableColumns count="5">
    <tableColumn id="1" name="GHG Over-Compliance" dataDxfId="406"/>
    <tableColumn id="2" name="2018" dataDxfId="405"/>
    <tableColumn id="3" name="2019" dataDxfId="404">
      <calculatedColumnFormula>B36</calculatedColumnFormula>
    </tableColumn>
    <tableColumn id="4" name="2020" dataDxfId="403">
      <calculatedColumnFormula>B36</calculatedColumnFormula>
    </tableColumn>
    <tableColumn id="5" name="2021" dataDxfId="402">
      <calculatedColumnFormula>B36</calculatedColumnFormula>
    </tableColumn>
  </tableColumns>
  <tableStyleInfo name="TableStyleMedium2" showFirstColumn="0" showLastColumn="0" showRowStripes="1" showColumnStripes="0"/>
  <extLst>
    <ext xmlns:x14="http://schemas.microsoft.com/office/spreadsheetml/2009/9/main" uri="{504A1905-F514-4f6f-8877-14C23A59335A}">
      <x14:table altText="Greenhouse Gas Over Compliance Inputs" altTextSummary="Inputs to calculate greenhouse gas over compliance provision.  Users input percent of manufactures taking this provision for 2018, which automatically copies over through 2021, because manufacturers choose this path for all 4 model years, and for both California and Section 177 states."/>
    </ext>
  </extLst>
</table>
</file>

<file path=xl/tables/table41.xml><?xml version="1.0" encoding="utf-8"?>
<table xmlns="http://schemas.openxmlformats.org/spreadsheetml/2006/main" id="46" name="Table4347" displayName="Table4347" ref="A38:E43" totalsRowShown="0" headerRowDxfId="401" dataDxfId="400" tableBorderDxfId="399">
  <autoFilter ref="A38:E43"/>
  <tableColumns count="5">
    <tableColumn id="1" name="CA GHG Over-Compliance" dataDxfId="398"/>
    <tableColumn id="2" name="2018" dataDxfId="397"/>
    <tableColumn id="3" name="2019" dataDxfId="396"/>
    <tableColumn id="4" name="2020" dataDxfId="395"/>
    <tableColumn id="5" name="2021" dataDxfId="394"/>
  </tableColumns>
  <tableStyleInfo name="TableStyleMedium2" showFirstColumn="0" showLastColumn="0" showRowStripes="1" showColumnStripes="0"/>
  <extLst>
    <ext xmlns:x14="http://schemas.microsoft.com/office/spreadsheetml/2009/9/main" uri="{504A1905-F514-4f6f-8877-14C23A59335A}">
      <x14:table altText="California Greenhouse Gas Over-Compliance Calculations" altTextSummary="Calculation of effect of the greenhouse gas over compliance provision on manufacturer's California credit obligation"/>
    </ext>
  </extLst>
</table>
</file>

<file path=xl/tables/table42.xml><?xml version="1.0" encoding="utf-8"?>
<table xmlns="http://schemas.openxmlformats.org/spreadsheetml/2006/main" id="47" name="Table4248" displayName="Table4248" ref="A44:E49" totalsRowShown="0" headerRowDxfId="393" dataDxfId="392" tableBorderDxfId="391">
  <autoFilter ref="A44:E49"/>
  <tableColumns count="5">
    <tableColumn id="1" name="S177 GHG Over-Compliance " dataDxfId="390"/>
    <tableColumn id="2" name="2018" dataDxfId="389"/>
    <tableColumn id="3" name="2019" dataDxfId="388"/>
    <tableColumn id="4" name="2020" dataDxfId="387"/>
    <tableColumn id="5" name="2021" dataDxfId="386"/>
  </tableColumns>
  <tableStyleInfo name="TableStyleMedium2" showFirstColumn="0" showLastColumn="0" showRowStripes="1" showColumnStripes="0"/>
  <extLst>
    <ext xmlns:x14="http://schemas.microsoft.com/office/spreadsheetml/2009/9/main" uri="{504A1905-F514-4f6f-8877-14C23A59335A}">
      <x14:table altText="Section 177 State Greenhouse Gas Over-Compliance Calculations" altTextSummary="Calculation of effect of the greenhouse gas over compliance provision on manufacturer's Section 177 State credit obligation"/>
    </ext>
  </extLst>
</table>
</file>

<file path=xl/tables/table43.xml><?xml version="1.0" encoding="utf-8"?>
<table xmlns="http://schemas.openxmlformats.org/spreadsheetml/2006/main" id="48" name="Table4149" displayName="Table4149" ref="A50:I52" totalsRowShown="0" headerRowDxfId="385" dataDxfId="383" headerRowBorderDxfId="384" tableBorderDxfId="382">
  <autoFilter ref="A50:I52"/>
  <tableColumns count="9">
    <tableColumn id="1" name="Historical PZEV, AT PZEV and NEV Credit Inputs" dataDxfId="381"/>
    <tableColumn id="2" name="2018" dataDxfId="380"/>
    <tableColumn id="3" name="2019" dataDxfId="379">
      <calculatedColumnFormula>$B$52</calculatedColumnFormula>
    </tableColumn>
    <tableColumn id="4" name="2020" dataDxfId="378">
      <calculatedColumnFormula>$B$52</calculatedColumnFormula>
    </tableColumn>
    <tableColumn id="5" name="2021" dataDxfId="377">
      <calculatedColumnFormula>$B$52</calculatedColumnFormula>
    </tableColumn>
    <tableColumn id="6" name="2022" dataDxfId="376">
      <calculatedColumnFormula>$B$52</calculatedColumnFormula>
    </tableColumn>
    <tableColumn id="7" name="2023" dataDxfId="375">
      <calculatedColumnFormula>$B$52</calculatedColumnFormula>
    </tableColumn>
    <tableColumn id="8" name="2024" dataDxfId="374">
      <calculatedColumnFormula>$B$52</calculatedColumnFormula>
    </tableColumn>
    <tableColumn id="9" name="2025" dataDxfId="373">
      <calculatedColumnFormula>$B$52</calculatedColumnFormula>
    </tableColumn>
  </tableColumns>
  <tableStyleInfo name="TableStyleMedium2" showFirstColumn="0" showLastColumn="0" showRowStripes="1" showColumnStripes="0"/>
  <extLst>
    <ext xmlns:x14="http://schemas.microsoft.com/office/spreadsheetml/2009/9/main" uri="{504A1905-F514-4f6f-8877-14C23A59335A}">
      <x14:table altText="Historical PZEV, AT PZEV, and NEV Credit Inputs" altTextSummary="Input table for manufacturers choosing to spend credits from partial zero emission, advanced technology partial zero emission, and neighborhood electric vehicles, which can only fulfill a small portion of each manufacturers' requirement. "/>
    </ext>
  </extLst>
</table>
</file>

<file path=xl/tables/table44.xml><?xml version="1.0" encoding="utf-8"?>
<table xmlns="http://schemas.openxmlformats.org/spreadsheetml/2006/main" id="49" name="Table3950" displayName="Table3950" ref="A58:I62" totalsRowShown="0" headerRowDxfId="372" headerRowBorderDxfId="371" tableBorderDxfId="370">
  <autoFilter ref="A58:I62"/>
  <tableColumns count="9">
    <tableColumn id="1" name="S177 Historical PZEV, AT PZEV, and NEV Credits" dataDxfId="369"/>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Section 177 State Historical PZEV, AT PZEV, and NEV Credit Calculations" altTextSummary="Calculates the effect of historical PZEV, AT PZEV, and NEV credit cap on manufacturer's California ZEV credit obligations, based on the number of manufacturer exercising this regulatory flexibility"/>
    </ext>
  </extLst>
</table>
</file>

<file path=xl/tables/table45.xml><?xml version="1.0" encoding="utf-8"?>
<table xmlns="http://schemas.openxmlformats.org/spreadsheetml/2006/main" id="50" name="Table4051" displayName="Table4051" ref="A53:I57" totalsRowShown="0" headerRowDxfId="368" headerRowBorderDxfId="367" tableBorderDxfId="366">
  <autoFilter ref="A53:I57"/>
  <tableColumns count="9">
    <tableColumn id="1" name="CA Historical PZEV, AT PZEV and NEV Credits" dataDxfId="365"/>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California Historical PZEV, AT PZEV, and NEV Credit Calculations" altTextSummary="Calculates the effect of historical PZEV, AT PZEV, and NEV credit cap on manufacturer's California ZEV credit obligations, based on the number of manufacturer exercising this regulatory flexibility"/>
    </ext>
  </extLst>
</table>
</file>

<file path=xl/tables/table46.xml><?xml version="1.0" encoding="utf-8"?>
<table xmlns="http://schemas.openxmlformats.org/spreadsheetml/2006/main" id="51" name="Table3852" displayName="Table3852" ref="A63:G65" totalsRowShown="0" headerRowDxfId="364" tableBorderDxfId="363">
  <autoFilter ref="A63:G65"/>
  <tableColumns count="7">
    <tableColumn id="1" name="CA Banked Credits Inputs" dataDxfId="362"/>
    <tableColumn id="2" name="Industry Credits" dataDxfId="361"/>
    <tableColumn id="3" name="LVM Difference" dataDxfId="360">
      <calculatedColumnFormula>IF(((B64-(J18*D64)-E64)&gt;0), (B64-(J18*D64)-E64), 0)</calculatedColumnFormula>
    </tableColumn>
    <tableColumn id="4" name="2026 LVM Margin" dataDxfId="359" dataCellStyle="Percent"/>
    <tableColumn id="5" name="IVM"/>
    <tableColumn id="6" name="IVM Difference"/>
    <tableColumn id="7" name="2026 IVM Margin"/>
  </tableColumns>
  <tableStyleInfo name="TableStyleMedium2" showFirstColumn="0" showLastColumn="0" showRowStripes="1" showColumnStripes="0"/>
  <extLst>
    <ext xmlns:x14="http://schemas.microsoft.com/office/spreadsheetml/2009/9/main" uri="{504A1905-F514-4f6f-8877-14C23A59335A}">
      <x14:table altText="California Banked Credits Inputs" altTextSummary="Inputs used to calculate the effect of banked credits in California, meaning credits earned prior to 2018 model year.  "/>
    </ext>
  </extLst>
</table>
</file>

<file path=xl/tables/table47.xml><?xml version="1.0" encoding="utf-8"?>
<table xmlns="http://schemas.openxmlformats.org/spreadsheetml/2006/main" id="52" name="Table3753" displayName="Table3753" ref="A66:I72" totalsRowShown="0" headerRowDxfId="358" dataDxfId="356" headerRowBorderDxfId="357" tableBorderDxfId="355">
  <autoFilter ref="A66:I72"/>
  <tableColumns count="9">
    <tableColumn id="1" name="CA Banked Credits Calculations" dataDxfId="354"/>
    <tableColumn id="2" name="2018" dataDxfId="353"/>
    <tableColumn id="3" name="2019" dataDxfId="352"/>
    <tableColumn id="4" name="2020" dataDxfId="351"/>
    <tableColumn id="5" name="2021" dataDxfId="350"/>
    <tableColumn id="6" name="2022" dataDxfId="349"/>
    <tableColumn id="7" name="2023" dataDxfId="348"/>
    <tableColumn id="8" name="2024" dataDxfId="347"/>
    <tableColumn id="9" name="2025" dataDxfId="346"/>
  </tableColumns>
  <tableStyleInfo name="TableStyleMedium2" showFirstColumn="0" showLastColumn="0" showRowStripes="1" showColumnStripes="0"/>
  <extLst>
    <ext xmlns:x14="http://schemas.microsoft.com/office/spreadsheetml/2009/9/main" uri="{504A1905-F514-4f6f-8877-14C23A59335A}">
      <x14:table altText="California Banked Credit Calculations" altTextSummary="Calculates the portion of manufacturers' requirements in California that would be met with banked credits, meaning credits earned prior to 2018 model year."/>
    </ext>
  </extLst>
</table>
</file>

<file path=xl/tables/table48.xml><?xml version="1.0" encoding="utf-8"?>
<table xmlns="http://schemas.openxmlformats.org/spreadsheetml/2006/main" id="53" name="Table3554" displayName="Table3554" ref="A73:G75" totalsRowShown="0" headerRowDxfId="345" tableBorderDxfId="344">
  <autoFilter ref="A73:G75"/>
  <tableColumns count="7">
    <tableColumn id="1" name="S177 Banked Credit Inputs" dataDxfId="343"/>
    <tableColumn id="2" name="Industry Credits" dataDxfId="342"/>
    <tableColumn id="3" name="LVM Difference" dataDxfId="341">
      <calculatedColumnFormula>IF((B74-(J30*D74)-E74)&gt;0, (B74-(I30*D74)-E74), 0)</calculatedColumnFormula>
    </tableColumn>
    <tableColumn id="4" name="2026 LVM Margin" dataDxfId="340" dataCellStyle="Percent"/>
    <tableColumn id="5" name="IVM"/>
    <tableColumn id="6" name="IVM Difference"/>
    <tableColumn id="7" name="2026 IVM Margin"/>
  </tableColumns>
  <tableStyleInfo name="TableStyleMedium2" showFirstColumn="0" showLastColumn="0" showRowStripes="1" showColumnStripes="0"/>
  <extLst>
    <ext xmlns:x14="http://schemas.microsoft.com/office/spreadsheetml/2009/9/main" uri="{504A1905-F514-4f6f-8877-14C23A59335A}">
      <x14:table altText="Section 177 State Banked Credit Inputs" altTextSummary="Inputs used to calculate the effect of banked credits in the Section 177 States, meaning credits earned or traveled prior to 2018 model year.  "/>
    </ext>
  </extLst>
</table>
</file>

<file path=xl/tables/table49.xml><?xml version="1.0" encoding="utf-8"?>
<table xmlns="http://schemas.openxmlformats.org/spreadsheetml/2006/main" id="54" name="Table3655" displayName="Table3655" ref="A76:I82" totalsRowShown="0" headerRowDxfId="339" dataDxfId="338" tableBorderDxfId="337">
  <autoFilter ref="A76:I82"/>
  <tableColumns count="9">
    <tableColumn id="1" name="S177 Banked Credit Calculations" dataDxfId="336"/>
    <tableColumn id="2" name="2018" dataDxfId="335"/>
    <tableColumn id="3" name="2019" dataDxfId="334"/>
    <tableColumn id="4" name="2020" dataDxfId="333"/>
    <tableColumn id="5" name="2021" dataDxfId="332"/>
    <tableColumn id="6" name="2022" dataDxfId="331"/>
    <tableColumn id="7" name="2023" dataDxfId="330"/>
    <tableColumn id="8" name="2024" dataDxfId="329"/>
    <tableColumn id="9" name="2025" dataDxfId="328"/>
  </tableColumns>
  <tableStyleInfo name="TableStyleMedium2" showFirstColumn="0" showLastColumn="0" showRowStripes="1" showColumnStripes="0"/>
  <extLst>
    <ext xmlns:x14="http://schemas.microsoft.com/office/spreadsheetml/2009/9/main" uri="{504A1905-F514-4f6f-8877-14C23A59335A}">
      <x14:table altText="Section 177 State Banked Credit Calculations" altTextSummary="Calculates the portion of manufacturers' requirements in the Section 177 States that would be met with banked credits, meaning credits earned prior to 2018 model year."/>
    </ext>
  </extLst>
</table>
</file>

<file path=xl/tables/table5.xml><?xml version="1.0" encoding="utf-8"?>
<table xmlns="http://schemas.openxmlformats.org/spreadsheetml/2006/main" id="5" name="Table5" displayName="Table5" ref="A39:J47" totalsRowShown="0" headerRowDxfId="25" dataDxfId="693" tableBorderDxfId="692">
  <autoFilter ref="A39:J47"/>
  <tableColumns count="10">
    <tableColumn id="1" name="Column1" dataDxfId="691"/>
    <tableColumn id="2" name="2018" dataDxfId="690"/>
    <tableColumn id="3" name="2019" dataDxfId="689"/>
    <tableColumn id="4" name="2020" dataDxfId="688"/>
    <tableColumn id="5" name="2021" dataDxfId="687"/>
    <tableColumn id="6" name="2022" dataDxfId="686"/>
    <tableColumn id="7" name="2023" dataDxfId="685"/>
    <tableColumn id="8" name="2024" dataDxfId="684"/>
    <tableColumn id="9" name="2025" dataDxfId="683"/>
    <tableColumn id="10" name="Total 2018-2025" dataDxfId="682"/>
  </tableColumns>
  <tableStyleInfo name="TableStyleMedium2" showFirstColumn="0" showLastColumn="0" showRowStripes="1" showColumnStripes="0"/>
  <extLst>
    <ext xmlns:x14="http://schemas.microsoft.com/office/spreadsheetml/2009/9/main" uri="{504A1905-F514-4f6f-8877-14C23A59335A}">
      <x14:table altText="Summary Table for 2012 ACC Scenario for California and Section 177 States" altTextSummary="Summary of vehicle numbers estimated in the 2012 scenarios during the Advanced Clean Cars rulemaking.  Annual and cumulative vehicle numbers are broken out by technology type for 2018 through 2025 model year for California and Section 177 States combined.  "/>
    </ext>
  </extLst>
</table>
</file>

<file path=xl/tables/table50.xml><?xml version="1.0" encoding="utf-8"?>
<table xmlns="http://schemas.openxmlformats.org/spreadsheetml/2006/main" id="55" name="Table3456" displayName="Table3456" ref="A83:I99" totalsRowShown="0" headerRowDxfId="327" dataDxfId="325" headerRowBorderDxfId="326" tableBorderDxfId="324" dataCellStyle="Percent">
  <autoFilter ref="A83:I99"/>
  <tableColumns count="9">
    <tableColumn id="1" name="Adjusted CA Credit Requirement" dataDxfId="323"/>
    <tableColumn id="2" name="2018" dataDxfId="322" dataCellStyle="Percent"/>
    <tableColumn id="3" name="2019" dataDxfId="321" dataCellStyle="Percent"/>
    <tableColumn id="4" name="2020" dataDxfId="320" dataCellStyle="Percent"/>
    <tableColumn id="5" name="2021" dataDxfId="319" dataCellStyle="Percent"/>
    <tableColumn id="6" name="2022" dataDxfId="318" dataCellStyle="Percent"/>
    <tableColumn id="7" name="2023" dataDxfId="317" dataCellStyle="Percent"/>
    <tableColumn id="8" name="2024" dataDxfId="316" dataCellStyle="Percent"/>
    <tableColumn id="9" name="2025" dataDxfId="315" dataCellStyle="Percent"/>
  </tableColumns>
  <tableStyleInfo name="TableStyleMedium2" showFirstColumn="0" showLastColumn="0" showRowStripes="1" showColumnStripes="0"/>
  <extLst>
    <ext xmlns:x14="http://schemas.microsoft.com/office/spreadsheetml/2009/9/main" uri="{504A1905-F514-4f6f-8877-14C23A59335A}">
      <x14:table altText="Adjusted California Credit Requirement" altTextSummary="Table which recalculates the number of credits required by taking into consideration credit caps, optional compliance paths, and historical credits for California."/>
    </ext>
  </extLst>
</table>
</file>

<file path=xl/tables/table51.xml><?xml version="1.0" encoding="utf-8"?>
<table xmlns="http://schemas.openxmlformats.org/spreadsheetml/2006/main" id="56" name="Table3357" displayName="Table3357" ref="A100:I116" totalsRowShown="0" headerRowDxfId="314" dataDxfId="313" tableBorderDxfId="312" dataCellStyle="Percent">
  <autoFilter ref="A100:I116"/>
  <tableColumns count="9">
    <tableColumn id="1" name="Adjusted S177 Credit Requirement" dataDxfId="311"/>
    <tableColumn id="2" name="2018" dataDxfId="310" dataCellStyle="Percent"/>
    <tableColumn id="3" name="2019" dataDxfId="309" dataCellStyle="Percent"/>
    <tableColumn id="4" name="2020" dataDxfId="308" dataCellStyle="Percent"/>
    <tableColumn id="5" name="2021" dataDxfId="307" dataCellStyle="Percent"/>
    <tableColumn id="6" name="2022" dataDxfId="306" dataCellStyle="Percent"/>
    <tableColumn id="7" name="2023" dataDxfId="305" dataCellStyle="Percent"/>
    <tableColumn id="8" name="2024" dataDxfId="304" dataCellStyle="Percent"/>
    <tableColumn id="9" name="2025" dataDxfId="303" dataCellStyle="Percent"/>
  </tableColumns>
  <tableStyleInfo name="TableStyleMedium2" showFirstColumn="0" showLastColumn="0" showRowStripes="1" showColumnStripes="0"/>
  <extLst>
    <ext xmlns:x14="http://schemas.microsoft.com/office/spreadsheetml/2009/9/main" uri="{504A1905-F514-4f6f-8877-14C23A59335A}">
      <x14:table altText="Adjusted Section 177 State Credit Requirement" altTextSummary="Table which recalculates the number of credits required by taking into consideration credit caps, optional compliance paths, and historical credits for the Section 177 States."/>
    </ext>
  </extLst>
</table>
</file>

<file path=xl/tables/table52.xml><?xml version="1.0" encoding="utf-8"?>
<table xmlns="http://schemas.openxmlformats.org/spreadsheetml/2006/main" id="58" name="Table3259" displayName="Table3259" ref="A117:I145" totalsRowShown="0" headerRowDxfId="302" headerRowBorderDxfId="301" tableBorderDxfId="300">
  <autoFilter ref="A117:I145"/>
  <tableColumns count="9">
    <tableColumn id="1" name="Technology Mix/Vehicle Numbers" dataDxfId="299"/>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Technology Mix and Vehicle Mix Input Table" altTextSummary="Input table for user to make decisions about vehicle range and vehicle mix.  Input table is used for both California and Section 177 State calculations."/>
    </ext>
  </extLst>
</table>
</file>

<file path=xl/tables/table53.xml><?xml version="1.0" encoding="utf-8"?>
<table xmlns="http://schemas.openxmlformats.org/spreadsheetml/2006/main" id="59" name="Table3160" displayName="Table3160" ref="A146:I162" totalsRowShown="0" headerRowDxfId="298" dataDxfId="296" headerRowBorderDxfId="297" tableBorderDxfId="295">
  <autoFilter ref="A146:I162"/>
  <tableColumns count="9">
    <tableColumn id="1" name="CA Vehicle Numbers" dataDxfId="294"/>
    <tableColumn id="2" name="2018" dataDxfId="293"/>
    <tableColumn id="3" name="2019" dataDxfId="292"/>
    <tableColumn id="4" name="2020" dataDxfId="291"/>
    <tableColumn id="5" name="2021" dataDxfId="290"/>
    <tableColumn id="6" name="2022" dataDxfId="289"/>
    <tableColumn id="7" name="2023" dataDxfId="288"/>
    <tableColumn id="8" name="2024" dataDxfId="287"/>
    <tableColumn id="9" name="2025" dataDxfId="286"/>
  </tableColumns>
  <tableStyleInfo name="TableStyleMedium2" showFirstColumn="0" showLastColumn="0" showRowStripes="1" showColumnStripes="0"/>
  <extLst>
    <ext xmlns:x14="http://schemas.microsoft.com/office/spreadsheetml/2009/9/main" uri="{504A1905-F514-4f6f-8877-14C23A59335A}">
      <x14:table altText="Total California Vehicle Numbers" altTextSummary="Final calculation of vehicles by technology type annually through 2025 model year in California, which includes all caps, optional compliance paths, and technology mix inputs"/>
    </ext>
  </extLst>
</table>
</file>

<file path=xl/tables/table54.xml><?xml version="1.0" encoding="utf-8"?>
<table xmlns="http://schemas.openxmlformats.org/spreadsheetml/2006/main" id="60" name="Table3061" displayName="Table3061" ref="A163:I175" totalsRowShown="0" headerRowDxfId="95" headerRowBorderDxfId="93" tableBorderDxfId="94">
  <autoFilter ref="A163:I175"/>
  <tableColumns count="9">
    <tableColumn id="1" name="S177 State Vehicle Numbers" dataDxfId="92"/>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Total Section 177 State Vehicle Numbers" altTextSummary="Final calculation of vehicles by technology type annually through 2025 model year in the section 177 state, which includes all caps, optional compliance paths, and technology mix inputs"/>
    </ext>
  </extLst>
</table>
</file>

<file path=xl/tables/table55.xml><?xml version="1.0" encoding="utf-8"?>
<table xmlns="http://schemas.openxmlformats.org/spreadsheetml/2006/main" id="81" name="Table2782" displayName="Table2782" ref="K3:L5" totalsRowShown="0" headerRowDxfId="79" headerRowBorderDxfId="77" tableBorderDxfId="78" totalsRowBorderDxfId="76">
  <autoFilter ref="K3:L5"/>
  <tableColumns count="2">
    <tableColumn id="1" name="State" dataDxfId="75"/>
    <tableColumn id="3" name="% of US" dataDxfId="74"/>
  </tableColumns>
  <tableStyleInfo name="TableStyleMedium2" showFirstColumn="0" showLastColumn="0" showRowStripes="1" showColumnStripes="0"/>
  <extLst>
    <ext xmlns:x14="http://schemas.microsoft.com/office/spreadsheetml/2009/9/main" uri="{504A1905-F514-4f6f-8877-14C23A59335A}">
      <x14:table altText="Percentage of United States New Vehicle in California and Section 177 States" altTextSummary="Percentage of United States New Vehicle in California and Section 177 States, based on Polk 2015 model year sales fractions"/>
    </ext>
  </extLst>
</table>
</file>

<file path=xl/tables/table56.xml><?xml version="1.0" encoding="utf-8"?>
<table xmlns="http://schemas.openxmlformats.org/spreadsheetml/2006/main" id="61" name="Table1862" displayName="Table1862" ref="A2:J13" totalsRowShown="0" headerRowDxfId="85" dataDxfId="87" tableBorderDxfId="86" dataCellStyle="Comma">
  <autoFilter ref="A2:J13"/>
  <tableColumns count="10">
    <tableColumn id="1" name="Total Light Duty Vehicle Sales " dataDxfId="285" totalsRowDxfId="284"/>
    <tableColumn id="2" name="2018" dataDxfId="283" totalsRowDxfId="282" dataCellStyle="Comma"/>
    <tableColumn id="3" name="2019" dataDxfId="281" totalsRowDxfId="280" dataCellStyle="Comma"/>
    <tableColumn id="4" name="2020" dataDxfId="279" totalsRowDxfId="278" dataCellStyle="Comma"/>
    <tableColumn id="5" name="2021" dataDxfId="277" totalsRowDxfId="276" dataCellStyle="Comma"/>
    <tableColumn id="6" name="2022" dataDxfId="275" totalsRowDxfId="274" dataCellStyle="Comma"/>
    <tableColumn id="7" name="2023" dataDxfId="273" totalsRowDxfId="272" dataCellStyle="Comma"/>
    <tableColumn id="8" name="2024" dataDxfId="271" totalsRowDxfId="270" dataCellStyle="Comma"/>
    <tableColumn id="9" name="2025" dataDxfId="269" totalsRowDxfId="268" dataCellStyle="Comma"/>
    <tableColumn id="10" name="2026" dataDxfId="267" totalsRowDxfId="266" dataCellStyle="Comma"/>
  </tableColumns>
  <tableStyleInfo name="TableStyleMedium2" showFirstColumn="0" showLastColumn="0" showRowStripes="1" showColumnStripes="0"/>
  <extLst>
    <ext xmlns:x14="http://schemas.microsoft.com/office/spreadsheetml/2009/9/main" uri="{504A1905-F514-4f6f-8877-14C23A59335A}">
      <x14:table altText="Total Light Duty Vehicle Sales" altTextSummary="Calculations of light duty vehicle fleet populations to which the ZEV regulation requirements are applied.  "/>
    </ext>
  </extLst>
</table>
</file>

<file path=xl/tables/table57.xml><?xml version="1.0" encoding="utf-8"?>
<table xmlns="http://schemas.openxmlformats.org/spreadsheetml/2006/main" id="63" name="Table242164" displayName="Table242164" ref="M4:O15" totalsRowShown="0" headerRowDxfId="265">
  <autoFilter ref="M4:O15"/>
  <tableColumns count="3">
    <tableColumn id="1" name="OEM" dataDxfId="264"/>
    <tableColumn id="2" name="CA Market Share" dataDxfId="263" dataCellStyle="Percent"/>
    <tableColumn id="3" name="S177 (Average) Market Share" dataDxfId="262" dataCellStyle="Percent"/>
  </tableColumns>
  <tableStyleInfo name="TableStyleMedium2" showFirstColumn="0" showLastColumn="0" showRowStripes="1" showColumnStripes="0"/>
  <extLst>
    <ext xmlns:x14="http://schemas.microsoft.com/office/spreadsheetml/2009/9/main" uri="{504A1905-F514-4f6f-8877-14C23A59335A}">
      <x14:table altText="Large Volume Manufacturer Market Share" altTextSummary="Reference table of average market shares for each large volume manufacturer, meaning those with more than 20,000 vehicle sales on average in California"/>
    </ext>
  </extLst>
</table>
</file>

<file path=xl/tables/table58.xml><?xml version="1.0" encoding="utf-8"?>
<table xmlns="http://schemas.openxmlformats.org/spreadsheetml/2006/main" id="64" name="Table262265" displayName="Table262265" ref="M17:O23" totalsRowShown="0">
  <autoFilter ref="M17:O23"/>
  <tableColumns count="3">
    <tableColumn id="1" name="OEM" dataDxfId="261"/>
    <tableColumn id="2" name="CA Market Share" dataDxfId="260" dataCellStyle="Percent"/>
    <tableColumn id="3" name="S177 (Average) Market Share" dataDxfId="259" dataCellStyle="Percent"/>
  </tableColumns>
  <tableStyleInfo name="TableStyleMedium2" showFirstColumn="0" showLastColumn="0" showRowStripes="1" showColumnStripes="0"/>
  <extLst>
    <ext xmlns:x14="http://schemas.microsoft.com/office/spreadsheetml/2009/9/main" uri="{504A1905-F514-4f6f-8877-14C23A59335A}">
      <x14:table altText="Intermediate Volume Manufacturer Market Share" altTextSummary="Reference table of average market shares for each intermediate volume manufacturer, meaning those with more than 4,501 but less than 20,000 vehicle sales on average in California"/>
    </ext>
  </extLst>
</table>
</file>

<file path=xl/tables/table59.xml><?xml version="1.0" encoding="utf-8"?>
<table xmlns="http://schemas.openxmlformats.org/spreadsheetml/2006/main" id="57" name="Table2958" displayName="Table2958" ref="A14:K22" totalsRowShown="0" headerRowDxfId="242" dataDxfId="241" headerRowBorderDxfId="240">
  <autoFilter ref="A14:K22"/>
  <tableColumns count="11">
    <tableColumn id="1" name="CA ZEV Requirement (Credits)" dataDxfId="239"/>
    <tableColumn id="2" name="2018" dataDxfId="238"/>
    <tableColumn id="3" name="2019" dataDxfId="237"/>
    <tableColumn id="4" name="2020" dataDxfId="236"/>
    <tableColumn id="5" name="2021" dataDxfId="235"/>
    <tableColumn id="6" name="2022" dataDxfId="234"/>
    <tableColumn id="7" name="2023" dataDxfId="233"/>
    <tableColumn id="8" name="2024" dataDxfId="232"/>
    <tableColumn id="9" name="2025"/>
    <tableColumn id="10" name="2026" dataDxfId="231"/>
    <tableColumn id="11" name="2018-2025 TOTALS" dataDxfId="230">
      <calculatedColumnFormula>SUM(B15:I15)</calculatedColumnFormula>
    </tableColumn>
  </tableColumns>
  <tableStyleInfo name="TableStyleMedium2" showFirstColumn="0" showLastColumn="0" showRowStripes="1" showColumnStripes="0"/>
  <extLst>
    <ext xmlns:x14="http://schemas.microsoft.com/office/spreadsheetml/2009/9/main" uri="{504A1905-F514-4f6f-8877-14C23A59335A}">
      <x14:table altText="California ZEV Requirements, In Credits" altTextSummary="Calculations for manufacturers' ZEV credit requirements before regulatory flexibilities are considered"/>
    </ext>
  </extLst>
</table>
</file>

<file path=xl/tables/table6.xml><?xml version="1.0" encoding="utf-8"?>
<table xmlns="http://schemas.openxmlformats.org/spreadsheetml/2006/main" id="6" name="Table6" displayName="Table6" ref="L23:N34" totalsRowShown="0" headerRowDxfId="681" tableBorderDxfId="680">
  <autoFilter ref="L23:N34"/>
  <tableColumns count="3">
    <tableColumn id="1" name="OEM" dataDxfId="679">
      <calculatedColumnFormula>'Sales-Mkt Shares Reference'!A48</calculatedColumnFormula>
    </tableColumn>
    <tableColumn id="2" name="CA Market Share" dataDxfId="678" dataCellStyle="Percent">
      <calculatedColumnFormula>'Sales-Mkt Shares Reference'!B48</calculatedColumnFormula>
    </tableColumn>
    <tableColumn id="3" name="S177 (Average) Market Share" dataDxfId="677" dataCellStyle="Percent">
      <calculatedColumnFormula>'Sales-Mkt Shares Reference'!C48</calculatedColumnFormula>
    </tableColumn>
  </tableColumns>
  <tableStyleInfo name="TableStyleMedium2" showFirstColumn="0" showLastColumn="0" showRowStripes="1" showColumnStripes="0"/>
  <extLst>
    <ext xmlns:x14="http://schemas.microsoft.com/office/spreadsheetml/2009/9/main" uri="{504A1905-F514-4f6f-8877-14C23A59335A}">
      <x14:table altText="Large Volume Manufacturer Market Share" altTextSummary="Reference table of average market shares for each large volume manufacturer, meaning those with more than 20,000 vehicle sales on average in California"/>
    </ext>
  </extLst>
</table>
</file>

<file path=xl/tables/table60.xml><?xml version="1.0" encoding="utf-8"?>
<table xmlns="http://schemas.openxmlformats.org/spreadsheetml/2006/main" id="65" name="Table4566" displayName="Table4566" ref="A23:K34" totalsRowShown="0" headerRowDxfId="229" dataDxfId="228" headerRowBorderDxfId="226" tableBorderDxfId="227" totalsRowBorderDxfId="225">
  <autoFilter ref="A23:K34"/>
  <tableColumns count="11">
    <tableColumn id="1" name="S177 ZEV Requirement (Credits)" dataDxfId="224"/>
    <tableColumn id="2" name="2018" dataDxfId="223"/>
    <tableColumn id="3" name="2019" dataDxfId="222"/>
    <tableColumn id="4" name="2020" dataDxfId="221"/>
    <tableColumn id="5" name="2021" dataDxfId="220"/>
    <tableColumn id="6" name="2022" dataDxfId="219"/>
    <tableColumn id="7" name="2023" dataDxfId="218"/>
    <tableColumn id="8" name="2024" dataDxfId="217"/>
    <tableColumn id="9" name="2025" dataDxfId="216"/>
    <tableColumn id="10" name="2026" dataDxfId="215"/>
    <tableColumn id="11" name="2018-2025 TOTALS" dataDxfId="214">
      <calculatedColumnFormula>SUM(B24:I24)</calculatedColumnFormula>
    </tableColumn>
  </tableColumns>
  <tableStyleInfo name="TableStyleMedium2" showFirstColumn="0" showLastColumn="0" showRowStripes="1" showColumnStripes="0"/>
  <extLst>
    <ext xmlns:x14="http://schemas.microsoft.com/office/spreadsheetml/2009/9/main" uri="{504A1905-F514-4f6f-8877-14C23A59335A}">
      <x14:table altText="Section 177 State ZEV Requirements, In Credits" altTextSummary="Calculations for manufacturers' ZEV credit requirements in the Section 177 States before regulatory flexibilities are considered"/>
    </ext>
  </extLst>
</table>
</file>

<file path=xl/tables/table61.xml><?xml version="1.0" encoding="utf-8"?>
<table xmlns="http://schemas.openxmlformats.org/spreadsheetml/2006/main" id="66" name="Table4267" displayName="Table4267" ref="A44:E49" totalsRowShown="0" headerRowDxfId="82" dataDxfId="213" tableBorderDxfId="212">
  <autoFilter ref="A44:E49"/>
  <tableColumns count="5">
    <tableColumn id="1" name="S177 GHG Over-Compliance " dataDxfId="211"/>
    <tableColumn id="2" name="2018" dataDxfId="210"/>
    <tableColumn id="3" name="2019" dataDxfId="209"/>
    <tableColumn id="4" name="2020" dataDxfId="208"/>
    <tableColumn id="5" name="2021" dataDxfId="207"/>
  </tableColumns>
  <tableStyleInfo name="TableStyleMedium2" showFirstColumn="0" showLastColumn="0" showRowStripes="1" showColumnStripes="0"/>
  <extLst>
    <ext xmlns:x14="http://schemas.microsoft.com/office/spreadsheetml/2009/9/main" uri="{504A1905-F514-4f6f-8877-14C23A59335A}">
      <x14:table altText="Section 177 State Greenhouse Gas Over-Compliance Calculations" altTextSummary="Calculation of effect of the greenhouse gas over compliance provision on manufacturer's Section 177 State credit obligation"/>
    </ext>
  </extLst>
</table>
</file>

<file path=xl/tables/table62.xml><?xml version="1.0" encoding="utf-8"?>
<table xmlns="http://schemas.openxmlformats.org/spreadsheetml/2006/main" id="67" name="Table4368" displayName="Table4368" ref="A38:E43" totalsRowShown="0" headerRowDxfId="83" dataDxfId="206" tableBorderDxfId="205">
  <autoFilter ref="A38:E43"/>
  <tableColumns count="5">
    <tableColumn id="1" name="CA GHG Over-Compliance" dataDxfId="204"/>
    <tableColumn id="2" name="2018" dataDxfId="203"/>
    <tableColumn id="3" name="2019" dataDxfId="202"/>
    <tableColumn id="4" name="2020" dataDxfId="201"/>
    <tableColumn id="5" name="2021" dataDxfId="200"/>
  </tableColumns>
  <tableStyleInfo name="TableStyleMedium2" showFirstColumn="0" showLastColumn="0" showRowStripes="1" showColumnStripes="0"/>
  <extLst>
    <ext xmlns:x14="http://schemas.microsoft.com/office/spreadsheetml/2009/9/main" uri="{504A1905-F514-4f6f-8877-14C23A59335A}">
      <x14:table altText="California Greenhouse Gas Over-Compliance Calculations" altTextSummary="Calculation of effect of the greenhouse gas over compliance provision on manufacturer's California credit obligation"/>
    </ext>
  </extLst>
</table>
</file>

<file path=xl/tables/table63.xml><?xml version="1.0" encoding="utf-8"?>
<table xmlns="http://schemas.openxmlformats.org/spreadsheetml/2006/main" id="68" name="Table4469" displayName="Table4469" ref="A35:E37" totalsRowShown="0" headerRowDxfId="84" tableBorderDxfId="199">
  <autoFilter ref="A35:E37"/>
  <tableColumns count="5">
    <tableColumn id="1" name="GHG Over-Compliance" dataDxfId="198"/>
    <tableColumn id="2" name="2018" dataDxfId="197"/>
    <tableColumn id="3" name="2019" dataDxfId="196">
      <calculatedColumnFormula>B36</calculatedColumnFormula>
    </tableColumn>
    <tableColumn id="4" name="2020" dataDxfId="195">
      <calculatedColumnFormula>B36</calculatedColumnFormula>
    </tableColumn>
    <tableColumn id="5" name="2021" dataDxfId="194">
      <calculatedColumnFormula>B36</calculatedColumnFormula>
    </tableColumn>
  </tableColumns>
  <tableStyleInfo name="TableStyleMedium2" showFirstColumn="0" showLastColumn="0" showRowStripes="1" showColumnStripes="0"/>
  <extLst>
    <ext xmlns:x14="http://schemas.microsoft.com/office/spreadsheetml/2009/9/main" uri="{504A1905-F514-4f6f-8877-14C23A59335A}">
      <x14:table altText="Greenhouse Gas Over Compliance Inputs" altTextSummary="Inputs to calculate greenhouse gas over compliance provision.  Users input percent of manufactures taking this provision for 2018, which automatically copies over through 2021, because manufacturers choose this path for all 4 model years, and for both California and Section 177 states."/>
    </ext>
  </extLst>
</table>
</file>

<file path=xl/tables/table64.xml><?xml version="1.0" encoding="utf-8"?>
<table xmlns="http://schemas.openxmlformats.org/spreadsheetml/2006/main" id="69" name="Table3970" displayName="Table3970" ref="A58:I62" totalsRowShown="0" headerRowDxfId="193" headerRowBorderDxfId="191" tableBorderDxfId="192">
  <autoFilter ref="A58:I62"/>
  <tableColumns count="9">
    <tableColumn id="1" name="S177 Historical PZEV, AT PZEV, and NEV Credits" dataDxfId="190"/>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Section 177 State Historical PZEV, AT PZEV, and NEV Credit Calculations" altTextSummary="Calculates the effect of historical PZEV, AT PZEV, and NEV credit cap on manufacturer's California ZEV credit obligations, based on the number of manufacturer exercising this regulatory flexibility"/>
    </ext>
  </extLst>
</table>
</file>

<file path=xl/tables/table65.xml><?xml version="1.0" encoding="utf-8"?>
<table xmlns="http://schemas.openxmlformats.org/spreadsheetml/2006/main" id="70" name="Table4071" displayName="Table4071" ref="A53:I57" totalsRowShown="0" headerRowDxfId="80" headerRowBorderDxfId="188" tableBorderDxfId="189">
  <autoFilter ref="A53:I57"/>
  <tableColumns count="9">
    <tableColumn id="1" name="CA Historical PZEV, AT PZEV and NEV Credits" dataDxfId="187"/>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California Historical PZEV, AT PZEV, and NEV Credit Calculations" altTextSummary="Calculates the effect of historical PZEV, AT PZEV, and NEV credit cap on manufacturer's California ZEV credit obligations, based on the number of manufacturer exercising this regulatory flexibility"/>
    </ext>
  </extLst>
</table>
</file>

<file path=xl/tables/table66.xml><?xml version="1.0" encoding="utf-8"?>
<table xmlns="http://schemas.openxmlformats.org/spreadsheetml/2006/main" id="71" name="Table4172" displayName="Table4172" ref="A50:I52" totalsRowShown="0" headerRowDxfId="81" dataDxfId="186" headerRowBorderDxfId="184" tableBorderDxfId="185">
  <autoFilter ref="A50:I52"/>
  <tableColumns count="9">
    <tableColumn id="1" name="Historical PZEV, AT PZEV and NEV Credit Inputs" dataDxfId="183"/>
    <tableColumn id="2" name="2018" dataDxfId="182"/>
    <tableColumn id="3" name="2019" dataDxfId="181">
      <calculatedColumnFormula>$B$52</calculatedColumnFormula>
    </tableColumn>
    <tableColumn id="4" name="2020" dataDxfId="180">
      <calculatedColumnFormula>$B$52</calculatedColumnFormula>
    </tableColumn>
    <tableColumn id="5" name="2021" dataDxfId="179">
      <calculatedColumnFormula>$B$52</calculatedColumnFormula>
    </tableColumn>
    <tableColumn id="6" name="2022" dataDxfId="178">
      <calculatedColumnFormula>$B$52</calculatedColumnFormula>
    </tableColumn>
    <tableColumn id="7" name="2023" dataDxfId="177">
      <calculatedColumnFormula>$B$52</calculatedColumnFormula>
    </tableColumn>
    <tableColumn id="8" name="2024" dataDxfId="176">
      <calculatedColumnFormula>$B$52</calculatedColumnFormula>
    </tableColumn>
    <tableColumn id="9" name="2025" dataDxfId="175">
      <calculatedColumnFormula>$B$52</calculatedColumnFormula>
    </tableColumn>
  </tableColumns>
  <tableStyleInfo name="TableStyleMedium2" showFirstColumn="0" showLastColumn="0" showRowStripes="1" showColumnStripes="0"/>
  <extLst>
    <ext xmlns:x14="http://schemas.microsoft.com/office/spreadsheetml/2009/9/main" uri="{504A1905-F514-4f6f-8877-14C23A59335A}">
      <x14:table altText="Historical PZEV, AT PZEV, and NEV Credit Inputs" altTextSummary="Input table for manufacturers choosing to spend credits from partial zero emission, advanced technology partial zero emission, and neighborhood electric vehicles, which can only fulfill a small portion of each manufacturers' requirement. "/>
    </ext>
  </extLst>
</table>
</file>

<file path=xl/tables/table67.xml><?xml version="1.0" encoding="utf-8"?>
<table xmlns="http://schemas.openxmlformats.org/spreadsheetml/2006/main" id="72" name="Table3573" displayName="Table3573" ref="A73:G75" totalsRowShown="0" headerRowDxfId="174" tableBorderDxfId="173">
  <autoFilter ref="A73:G75"/>
  <tableColumns count="7">
    <tableColumn id="1" name="S177 Banked Credit Inputs" dataDxfId="172"/>
    <tableColumn id="2" name="Industry Credits" dataDxfId="171"/>
    <tableColumn id="3" name="LVM Difference" dataDxfId="170">
      <calculatedColumnFormula>IF((B74-(J30*D74)-E74)&gt;0, (B74-(I30*D74)-E74), 0)</calculatedColumnFormula>
    </tableColumn>
    <tableColumn id="4" name="2026 LVM Margin" dataDxfId="169" dataCellStyle="Percent"/>
    <tableColumn id="5" name="IVM"/>
    <tableColumn id="6" name="IVM Difference"/>
    <tableColumn id="7" name="2026 IVM Margin"/>
  </tableColumns>
  <tableStyleInfo name="TableStyleMedium2" showFirstColumn="0" showLastColumn="0" showRowStripes="1" showColumnStripes="0"/>
  <extLst>
    <ext xmlns:x14="http://schemas.microsoft.com/office/spreadsheetml/2009/9/main" uri="{504A1905-F514-4f6f-8877-14C23A59335A}">
      <x14:table altText="Section 177 State Banked Credit Inputs" altTextSummary="Inputs used to calculate the effect of banked credits in the Section 177 States, meaning credits earned or traveled prior to 2018 model year.  "/>
    </ext>
  </extLst>
</table>
</file>

<file path=xl/tables/table68.xml><?xml version="1.0" encoding="utf-8"?>
<table xmlns="http://schemas.openxmlformats.org/spreadsheetml/2006/main" id="73" name="Table3674" displayName="Table3674" ref="A76:I82" totalsRowShown="0" headerRowDxfId="168" dataDxfId="167" tableBorderDxfId="166">
  <autoFilter ref="A76:I82"/>
  <tableColumns count="9">
    <tableColumn id="1" name="S177 Banked Credit Calculations" dataDxfId="165"/>
    <tableColumn id="2" name="2018" dataDxfId="164"/>
    <tableColumn id="3" name="2019" dataDxfId="163"/>
    <tableColumn id="4" name="2020" dataDxfId="162"/>
    <tableColumn id="5" name="2021" dataDxfId="161"/>
    <tableColumn id="6" name="2022" dataDxfId="160"/>
    <tableColumn id="7" name="2023" dataDxfId="159"/>
    <tableColumn id="8" name="2024" dataDxfId="158"/>
    <tableColumn id="9" name="2025" dataDxfId="157"/>
  </tableColumns>
  <tableStyleInfo name="TableStyleMedium2" showFirstColumn="0" showLastColumn="0" showRowStripes="1" showColumnStripes="0"/>
  <extLst>
    <ext xmlns:x14="http://schemas.microsoft.com/office/spreadsheetml/2009/9/main" uri="{504A1905-F514-4f6f-8877-14C23A59335A}">
      <x14:table altText="Section 177 State Banked Credit Calculations" altTextSummary="Calculates the portion of manufacturers' requirements in the Section 177 States that would be met with banked credits, meaning credits earned prior to 2018 model year."/>
    </ext>
  </extLst>
</table>
</file>

<file path=xl/tables/table69.xml><?xml version="1.0" encoding="utf-8"?>
<table xmlns="http://schemas.openxmlformats.org/spreadsheetml/2006/main" id="74" name="Table3775" displayName="Table3775" ref="A66:I72" totalsRowShown="0" headerRowDxfId="156" dataDxfId="155" headerRowBorderDxfId="153" tableBorderDxfId="154">
  <autoFilter ref="A66:I72"/>
  <tableColumns count="9">
    <tableColumn id="1" name="CA Banked Credits Calculations" dataDxfId="152"/>
    <tableColumn id="2" name="2018" dataDxfId="151"/>
    <tableColumn id="3" name="2019" dataDxfId="150"/>
    <tableColumn id="4" name="2020" dataDxfId="149"/>
    <tableColumn id="5" name="2021" dataDxfId="148"/>
    <tableColumn id="6" name="2022" dataDxfId="147"/>
    <tableColumn id="7" name="2023" dataDxfId="146"/>
    <tableColumn id="8" name="2024" dataDxfId="145"/>
    <tableColumn id="9" name="2025" dataDxfId="144"/>
  </tableColumns>
  <tableStyleInfo name="TableStyleMedium2" showFirstColumn="0" showLastColumn="0" showRowStripes="1" showColumnStripes="0"/>
  <extLst>
    <ext xmlns:x14="http://schemas.microsoft.com/office/spreadsheetml/2009/9/main" uri="{504A1905-F514-4f6f-8877-14C23A59335A}">
      <x14:table altText="California Banked Credit Calculations" altTextSummary="Calculates the portion of manufacturers' requirements in California that would be met with banked credits, meaning credits earned prior to 2018 model year."/>
    </ext>
  </extLst>
</table>
</file>

<file path=xl/tables/table7.xml><?xml version="1.0" encoding="utf-8"?>
<table xmlns="http://schemas.openxmlformats.org/spreadsheetml/2006/main" id="7" name="Table7" displayName="Table7" ref="L37:N43" totalsRowShown="0" headerRowDxfId="676" tableBorderDxfId="675">
  <autoFilter ref="L37:N43"/>
  <tableColumns count="3">
    <tableColumn id="1" name="OEM" dataDxfId="674">
      <calculatedColumnFormula>'Sales-Mkt Shares Reference'!A62</calculatedColumnFormula>
    </tableColumn>
    <tableColumn id="2" name="CA Market Share" dataDxfId="673" dataCellStyle="Percent">
      <calculatedColumnFormula>'Sales-Mkt Shares Reference'!B62</calculatedColumnFormula>
    </tableColumn>
    <tableColumn id="3" name="S177 (Average) Market Share" dataDxfId="672" dataCellStyle="Percent">
      <calculatedColumnFormula>'Sales-Mkt Shares Reference'!C62</calculatedColumnFormula>
    </tableColumn>
  </tableColumns>
  <tableStyleInfo name="TableStyleMedium2" showFirstColumn="0" showLastColumn="0" showRowStripes="1" showColumnStripes="0"/>
  <extLst>
    <ext xmlns:x14="http://schemas.microsoft.com/office/spreadsheetml/2009/9/main" uri="{504A1905-F514-4f6f-8877-14C23A59335A}">
      <x14:table altText="Intermediate Volume Manufacturer Market Share" altTextSummary="Reference table of average market shares for each intermediate volume manufacturer, meaning those with more than 4,501 but less than 20,000 vehicle sales on average in California"/>
    </ext>
  </extLst>
</table>
</file>

<file path=xl/tables/table70.xml><?xml version="1.0" encoding="utf-8"?>
<table xmlns="http://schemas.openxmlformats.org/spreadsheetml/2006/main" id="75" name="Table3876" displayName="Table3876" ref="A63:G65" totalsRowShown="0" headerRowDxfId="143" tableBorderDxfId="142">
  <autoFilter ref="A63:G65"/>
  <tableColumns count="7">
    <tableColumn id="1" name="CA Banked Credits Inputs" dataDxfId="141"/>
    <tableColumn id="2" name="Industry Credits" dataDxfId="140"/>
    <tableColumn id="3" name="LVM Difference" dataDxfId="139">
      <calculatedColumnFormula>IF(((B64-(J18*D64)-E64)&gt;0), (B64-(J18*D64)-E64), 0)</calculatedColumnFormula>
    </tableColumn>
    <tableColumn id="4" name="2026 LVM Margin" dataDxfId="138" dataCellStyle="Percent"/>
    <tableColumn id="5" name="IVM"/>
    <tableColumn id="6" name="IVM Difference"/>
    <tableColumn id="7" name="2026 IVM Margin"/>
  </tableColumns>
  <tableStyleInfo name="TableStyleMedium2" showFirstColumn="0" showLastColumn="0" showRowStripes="1" showColumnStripes="0"/>
  <extLst>
    <ext xmlns:x14="http://schemas.microsoft.com/office/spreadsheetml/2009/9/main" uri="{504A1905-F514-4f6f-8877-14C23A59335A}">
      <x14:table altText="California Banked Credits Inputs" altTextSummary="Inputs used to calculate the effect of banked credits in California, meaning credits earned prior to 2018 model year.  "/>
    </ext>
  </extLst>
</table>
</file>

<file path=xl/tables/table71.xml><?xml version="1.0" encoding="utf-8"?>
<table xmlns="http://schemas.openxmlformats.org/spreadsheetml/2006/main" id="76" name="Table3277" displayName="Table3277" ref="A117:I145" totalsRowShown="0" headerRowDxfId="137" headerRowBorderDxfId="135" tableBorderDxfId="136">
  <autoFilter ref="A117:I145"/>
  <tableColumns count="9">
    <tableColumn id="1" name="Technology Mix/Vehicle Numbers" dataDxfId="134"/>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Technology Mix and Vehicle Mix Input Table" altTextSummary="Input table for user to make decisions about vehicle range and vehicle mix.  Input table is used for both California and Section 177 State calculations."/>
    </ext>
  </extLst>
</table>
</file>

<file path=xl/tables/table72.xml><?xml version="1.0" encoding="utf-8"?>
<table xmlns="http://schemas.openxmlformats.org/spreadsheetml/2006/main" id="77" name="Table3378" displayName="Table3378" ref="A100:I116" totalsRowShown="0" headerRowDxfId="133" dataDxfId="132" tableBorderDxfId="131" dataCellStyle="Percent">
  <autoFilter ref="A100:I116"/>
  <tableColumns count="9">
    <tableColumn id="1" name="Adjusted S177 Credit Requirement" dataDxfId="130"/>
    <tableColumn id="2" name="2018" dataDxfId="129" dataCellStyle="Percent"/>
    <tableColumn id="3" name="2019" dataDxfId="128" dataCellStyle="Percent"/>
    <tableColumn id="4" name="2020" dataDxfId="127" dataCellStyle="Percent"/>
    <tableColumn id="5" name="2021" dataDxfId="126" dataCellStyle="Percent"/>
    <tableColumn id="6" name="2022" dataDxfId="125" dataCellStyle="Percent"/>
    <tableColumn id="7" name="2023" dataDxfId="124" dataCellStyle="Percent"/>
    <tableColumn id="8" name="2024" dataDxfId="123" dataCellStyle="Percent"/>
    <tableColumn id="9" name="2025" dataDxfId="122" dataCellStyle="Percent"/>
  </tableColumns>
  <tableStyleInfo name="TableStyleMedium2" showFirstColumn="0" showLastColumn="0" showRowStripes="1" showColumnStripes="0"/>
  <extLst>
    <ext xmlns:x14="http://schemas.microsoft.com/office/spreadsheetml/2009/9/main" uri="{504A1905-F514-4f6f-8877-14C23A59335A}">
      <x14:table altText="Adjusted Section 177 State Credit Requirement" altTextSummary="Table which recalculates the number of credits required by taking into consideration credit caps, optional compliance paths, and historical credits for the Section 177 States."/>
    </ext>
  </extLst>
</table>
</file>

<file path=xl/tables/table73.xml><?xml version="1.0" encoding="utf-8"?>
<table xmlns="http://schemas.openxmlformats.org/spreadsheetml/2006/main" id="78" name="Table3479" displayName="Table3479" ref="A83:I99" totalsRowShown="0" headerRowDxfId="121" dataDxfId="120" headerRowBorderDxfId="118" tableBorderDxfId="119" dataCellStyle="Percent">
  <autoFilter ref="A83:I99"/>
  <tableColumns count="9">
    <tableColumn id="1" name="Adjusted CA Credit Requirement" dataDxfId="117"/>
    <tableColumn id="2" name="2018" dataDxfId="116" dataCellStyle="Percent"/>
    <tableColumn id="3" name="2019" dataDxfId="115" dataCellStyle="Percent"/>
    <tableColumn id="4" name="2020" dataDxfId="114" dataCellStyle="Percent"/>
    <tableColumn id="5" name="2021" dataDxfId="113" dataCellStyle="Percent"/>
    <tableColumn id="6" name="2022" dataDxfId="112" dataCellStyle="Percent"/>
    <tableColumn id="7" name="2023" dataDxfId="111" dataCellStyle="Percent"/>
    <tableColumn id="8" name="2024" dataDxfId="110" dataCellStyle="Percent"/>
    <tableColumn id="9" name="2025" dataDxfId="109" dataCellStyle="Percent"/>
  </tableColumns>
  <tableStyleInfo name="TableStyleMedium2" showFirstColumn="0" showLastColumn="0" showRowStripes="1" showColumnStripes="0"/>
  <extLst>
    <ext xmlns:x14="http://schemas.microsoft.com/office/spreadsheetml/2009/9/main" uri="{504A1905-F514-4f6f-8877-14C23A59335A}">
      <x14:table altText="Adjusted California Credit Requirement" altTextSummary="Table which recalculates the number of credits required by taking into consideration credit caps, optional compliance paths, and historical credits for California."/>
    </ext>
  </extLst>
</table>
</file>

<file path=xl/tables/table74.xml><?xml version="1.0" encoding="utf-8"?>
<table xmlns="http://schemas.openxmlformats.org/spreadsheetml/2006/main" id="79" name="Table3080" displayName="Table3080" ref="A163:I175" totalsRowShown="0" headerRowDxfId="91" headerRowBorderDxfId="89" tableBorderDxfId="90">
  <autoFilter ref="A163:I175"/>
  <tableColumns count="9">
    <tableColumn id="1" name="S177 State Vehicle Numbers" dataDxfId="88"/>
    <tableColumn id="2" name="2018"/>
    <tableColumn id="3" name="2019"/>
    <tableColumn id="4" name="2020"/>
    <tableColumn id="5" name="2021"/>
    <tableColumn id="6" name="2022"/>
    <tableColumn id="7" name="2023"/>
    <tableColumn id="8" name="2024"/>
    <tableColumn id="9" name="2025"/>
  </tableColumns>
  <tableStyleInfo name="TableStyleMedium2" showFirstColumn="0" showLastColumn="0" showRowStripes="1" showColumnStripes="0"/>
  <extLst>
    <ext xmlns:x14="http://schemas.microsoft.com/office/spreadsheetml/2009/9/main" uri="{504A1905-F514-4f6f-8877-14C23A59335A}">
      <x14:table altText="Total Section 177 State Vehicle Numbers" altTextSummary="Final calculation of vehicles by technology type annually through 2025 model year in the section 177 state, which includes all caps, optional compliance paths, and technology mix inputs"/>
    </ext>
  </extLst>
</table>
</file>

<file path=xl/tables/table75.xml><?xml version="1.0" encoding="utf-8"?>
<table xmlns="http://schemas.openxmlformats.org/spreadsheetml/2006/main" id="80" name="Table3181" displayName="Table3181" ref="A146:I162" totalsRowShown="0" headerRowDxfId="108" dataDxfId="107" headerRowBorderDxfId="105" tableBorderDxfId="106">
  <autoFilter ref="A146:I162"/>
  <tableColumns count="9">
    <tableColumn id="1" name="CA Vehicle Numbers" dataDxfId="104"/>
    <tableColumn id="2" name="2018" dataDxfId="103"/>
    <tableColumn id="3" name="2019" dataDxfId="102"/>
    <tableColumn id="4" name="2020" dataDxfId="101"/>
    <tableColumn id="5" name="2021" dataDxfId="100"/>
    <tableColumn id="6" name="2022" dataDxfId="99"/>
    <tableColumn id="7" name="2023" dataDxfId="98"/>
    <tableColumn id="8" name="2024" dataDxfId="97"/>
    <tableColumn id="9" name="2025" dataDxfId="96"/>
  </tableColumns>
  <tableStyleInfo name="TableStyleMedium2" showFirstColumn="0" showLastColumn="0" showRowStripes="1" showColumnStripes="0"/>
  <extLst>
    <ext xmlns:x14="http://schemas.microsoft.com/office/spreadsheetml/2009/9/main" uri="{504A1905-F514-4f6f-8877-14C23A59335A}">
      <x14:table altText="Total California Vehicle Numbers" altTextSummary="Final calculation of vehicles by technology type annually through 2025 model year in California, which includes all caps, optional compliance paths, and technology mix inputs"/>
    </ext>
  </extLst>
</table>
</file>

<file path=xl/tables/table76.xml><?xml version="1.0" encoding="utf-8"?>
<table xmlns="http://schemas.openxmlformats.org/spreadsheetml/2006/main" id="82" name="Table2783" displayName="Table2783" ref="K3:L5" totalsRowShown="0" headerRowDxfId="73" headerRowBorderDxfId="71" tableBorderDxfId="72" totalsRowBorderDxfId="70">
  <autoFilter ref="K3:L5"/>
  <tableColumns count="2">
    <tableColumn id="1" name="State" dataDxfId="69"/>
    <tableColumn id="3" name="% of US" dataDxfId="68"/>
  </tableColumns>
  <tableStyleInfo name="TableStyleMedium2" showFirstColumn="0" showLastColumn="0" showRowStripes="1" showColumnStripes="0"/>
  <extLst>
    <ext xmlns:x14="http://schemas.microsoft.com/office/spreadsheetml/2009/9/main" uri="{504A1905-F514-4f6f-8877-14C23A59335A}">
      <x14:table altText="Percentage of United States New Vehicle in California and Section 177 States" altTextSummary="Percentage of United States New Vehicle in California and Section 177 States, based on Polk 2015 model year sales fractions"/>
    </ext>
  </extLst>
</table>
</file>

<file path=xl/tables/table77.xml><?xml version="1.0" encoding="utf-8"?>
<table xmlns="http://schemas.openxmlformats.org/spreadsheetml/2006/main" id="8" name="Table8" displayName="Table8" ref="A4:N6" totalsRowShown="0">
  <autoFilter ref="A4:N6"/>
  <tableColumns count="14">
    <tableColumn id="1" name="Column1"/>
    <tableColumn id="2" name="2014"/>
    <tableColumn id="3" name="2015"/>
    <tableColumn id="4" name="2016"/>
    <tableColumn id="5" name="2017"/>
    <tableColumn id="6" name="2018">
      <calculatedColumnFormula>AVERAGE(B4:D4)*1000</calculatedColumnFormula>
    </tableColumn>
    <tableColumn id="7" name="2019">
      <calculatedColumnFormula>AVERAGE(C4:E4)*1000</calculatedColumnFormula>
    </tableColumn>
    <tableColumn id="8" name="2020">
      <calculatedColumnFormula>AVERAGE(D4:F4)*1000</calculatedColumnFormula>
    </tableColumn>
    <tableColumn id="9" name="2021">
      <calculatedColumnFormula>AVERAGE(E4:G4)*1000</calculatedColumnFormula>
    </tableColumn>
    <tableColumn id="10" name="2022">
      <calculatedColumnFormula>AVERAGE(F4:H4)*1000</calculatedColumnFormula>
    </tableColumn>
    <tableColumn id="11" name="2023">
      <calculatedColumnFormula>AVERAGE(G4:I4)*1000</calculatedColumnFormula>
    </tableColumn>
    <tableColumn id="12" name="2024">
      <calculatedColumnFormula>AVERAGE(H4:J4)*1000</calculatedColumnFormula>
    </tableColumn>
    <tableColumn id="13" name="2025">
      <calculatedColumnFormula>AVERAGE(I4:K4)*1000</calculatedColumnFormula>
    </tableColumn>
    <tableColumn id="14" name="2026">
      <calculatedColumnFormula>AVERAGE(J4:L4)*1000</calculatedColumnFormula>
    </tableColumn>
  </tableColumns>
  <tableStyleInfo showFirstColumn="0" showLastColumn="0" showRowStripes="1" showColumnStripes="0"/>
  <extLst>
    <ext xmlns:x14="http://schemas.microsoft.com/office/spreadsheetml/2009/9/main" uri="{504A1905-F514-4f6f-8877-14C23A59335A}">
      <x14:table altText="New Light Duty Sales" altTextSummary="Annual light duty sales according to the Annual Energy Outlook 2015 forecast for 2014 through 2026 model year"/>
    </ext>
  </extLst>
</table>
</file>

<file path=xl/tables/table78.xml><?xml version="1.0" encoding="utf-8"?>
<table xmlns="http://schemas.openxmlformats.org/spreadsheetml/2006/main" id="15" name="Table15" displayName="Table15" ref="A61:C68" totalsRowShown="0" headerRowDxfId="258" dataDxfId="257">
  <autoFilter ref="A61:C68"/>
  <tableColumns count="3">
    <tableColumn id="1" name="Manufacturer" dataDxfId="256"/>
    <tableColumn id="2" name="CA Market Share" dataDxfId="255" dataCellStyle="Percent"/>
    <tableColumn id="3" name="S177 (Average) Market Share" dataDxfId="254" dataCellStyle="Percent"/>
  </tableColumns>
  <tableStyleInfo showFirstColumn="0" showLastColumn="0" showRowStripes="1" showColumnStripes="0"/>
  <extLst>
    <ext xmlns:x14="http://schemas.microsoft.com/office/spreadsheetml/2009/9/main" uri="{504A1905-F514-4f6f-8877-14C23A59335A}">
      <x14:table altText="Intermediate Volume Manufacturer Market Share" altTextSummary="Summary of intermediate volume manufacturer market share of the intermediate volume manufacturer portion of the market, browkn out by manufacturer and by location."/>
    </ext>
  </extLst>
</table>
</file>

<file path=xl/tables/table79.xml><?xml version="1.0" encoding="utf-8"?>
<table xmlns="http://schemas.openxmlformats.org/spreadsheetml/2006/main" id="16" name="Table16" displayName="Table16" ref="A47:C58" totalsRowShown="0" headerRowDxfId="253" dataDxfId="252">
  <autoFilter ref="A47:C58"/>
  <tableColumns count="3">
    <tableColumn id="1" name="Manufacturer" dataDxfId="251"/>
    <tableColumn id="2" name="CA Market Share" dataDxfId="250" dataCellStyle="Percent"/>
    <tableColumn id="3" name="S177 (Average) Market Share" dataDxfId="249" dataCellStyle="Percent"/>
  </tableColumns>
  <tableStyleInfo showFirstColumn="0" showLastColumn="0" showRowStripes="1" showColumnStripes="0"/>
  <extLst>
    <ext xmlns:x14="http://schemas.microsoft.com/office/spreadsheetml/2009/9/main" uri="{504A1905-F514-4f6f-8877-14C23A59335A}">
      <x14:table altText="Large Volume Manufacturer Market Share" altTextSummary="Summary of large volume manufacturer market share of the large volume manufacturer portion of the market, browkn out by manufacturer and by location."/>
    </ext>
  </extLst>
</table>
</file>

<file path=xl/tables/table8.xml><?xml version="1.0" encoding="utf-8"?>
<table xmlns="http://schemas.openxmlformats.org/spreadsheetml/2006/main" id="9" name="Table9" displayName="Table9" ref="A77:K85" totalsRowShown="0" headerRowDxfId="40" dataDxfId="39" tableBorderDxfId="671">
  <autoFilter ref="A77:K85"/>
  <tableColumns count="11">
    <tableColumn id="1" name="Column1" dataDxfId="51"/>
    <tableColumn id="2" name="CA Bank Vehs" dataDxfId="50"/>
    <tableColumn id="3" name="2018" dataDxfId="49"/>
    <tableColumn id="4" name="2019" dataDxfId="48"/>
    <tableColumn id="5" name="2020" dataDxfId="47"/>
    <tableColumn id="6" name="2021" dataDxfId="46"/>
    <tableColumn id="7" name="2022" dataDxfId="45"/>
    <tableColumn id="8" name="2023" dataDxfId="44"/>
    <tableColumn id="9" name="2024" dataDxfId="43"/>
    <tableColumn id="10" name="2025" dataDxfId="42"/>
    <tableColumn id="11" name="Total 2018-2025" dataDxfId="41"/>
  </tableColumns>
  <tableStyleInfo name="TableStyleMedium2" showFirstColumn="0" showLastColumn="0" showRowStripes="1" showColumnStripes="0"/>
  <extLst>
    <ext xmlns:x14="http://schemas.microsoft.com/office/spreadsheetml/2009/9/main" uri="{504A1905-F514-4f6f-8877-14C23A59335A}">
      <x14:table altText="Summary Table for Scenario 1 in California" altTextSummary="Summary of vehicle numbers estimated in Scenario 1.  Annual and cumulative vehicle numbers are broken out by technology type for 2018 through 2025 model year for California.   "/>
    </ext>
  </extLst>
</table>
</file>

<file path=xl/tables/table80.xml><?xml version="1.0" encoding="utf-8"?>
<table xmlns="http://schemas.openxmlformats.org/spreadsheetml/2006/main" id="17" name="Table17" displayName="Table17" ref="A22:F44" totalsRowShown="0" headerRowDxfId="248">
  <autoFilter ref="A22:F44"/>
  <tableColumns count="6">
    <tableColumn id="1" name="Manufacturer "/>
    <tableColumn id="2" name="CA Sales" dataDxfId="247"/>
    <tableColumn id="3" name="NY Sales" dataDxfId="246"/>
    <tableColumn id="4" name="NJ Sales" dataDxfId="245"/>
    <tableColumn id="5" name="OR Sales" dataDxfId="244"/>
    <tableColumn id="6" name="Total NY, NJ, OR Sales" dataDxfId="243"/>
  </tableColumns>
  <tableStyleInfo showFirstColumn="0" showLastColumn="0" showRowStripes="1" showColumnStripes="0"/>
  <extLst>
    <ext xmlns:x14="http://schemas.microsoft.com/office/spreadsheetml/2009/9/main" uri="{504A1905-F514-4f6f-8877-14C23A59335A}">
      <x14:table altText="2014 Model Year Sales for California, New York, New Jersey, and Oregon" altTextSummary="Summary of mdel year 2014 sales broken out by state and manufacturer."/>
    </ext>
  </extLst>
</table>
</file>

<file path=xl/tables/table9.xml><?xml version="1.0" encoding="utf-8"?>
<table xmlns="http://schemas.openxmlformats.org/spreadsheetml/2006/main" id="10" name="Table10" displayName="Table10" ref="A86:K92" totalsRowShown="0" headerRowDxfId="38" tableBorderDxfId="670">
  <autoFilter ref="A86:K92"/>
  <tableColumns count="11">
    <tableColumn id="1" name="Column1" dataDxfId="669"/>
    <tableColumn id="2" name="S177 Bank Vehs"/>
    <tableColumn id="3" name="2018"/>
    <tableColumn id="4" name="2019"/>
    <tableColumn id="5" name="2020"/>
    <tableColumn id="6" name="2021"/>
    <tableColumn id="7" name="2022"/>
    <tableColumn id="8" name="2023"/>
    <tableColumn id="9" name="2024"/>
    <tableColumn id="10" name="2025"/>
    <tableColumn id="11" name="Total 2018-2025" dataDxfId="668"/>
  </tableColumns>
  <tableStyleInfo name="TableStyleMedium2" showFirstColumn="0" showLastColumn="0" showRowStripes="1" showColumnStripes="0"/>
  <extLst>
    <ext xmlns:x14="http://schemas.microsoft.com/office/spreadsheetml/2009/9/main" uri="{504A1905-F514-4f6f-8877-14C23A59335A}">
      <x14:table altText="Summary Table for Scenario 1 in California and Section 177 States" altTextSummary="Summary of vehicle numbers estimated in Scenario 1.  Annual and cumulative vehicle numbers are broken out by technology type for 2018 through 2025 model year for California and Section 177 States.   "/>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eancars@arb.ca.gov" TargetMode="External"/><Relationship Id="rId1" Type="http://schemas.openxmlformats.org/officeDocument/2006/relationships/hyperlink" Target="https://ww3.arb.ca.gov/msprog/acc/mtr/appendix_a.pdf?_ga=2.135809265.1503454480.1576520488-895192167.1537387928"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9.xml"/><Relationship Id="rId13" Type="http://schemas.openxmlformats.org/officeDocument/2006/relationships/table" Target="../tables/table24.xml"/><Relationship Id="rId18" Type="http://schemas.openxmlformats.org/officeDocument/2006/relationships/table" Target="../tables/table29.xml"/><Relationship Id="rId3" Type="http://schemas.openxmlformats.org/officeDocument/2006/relationships/table" Target="../tables/table14.xml"/><Relationship Id="rId21" Type="http://schemas.openxmlformats.org/officeDocument/2006/relationships/table" Target="../tables/table32.xml"/><Relationship Id="rId7" Type="http://schemas.openxmlformats.org/officeDocument/2006/relationships/table" Target="../tables/table18.xml"/><Relationship Id="rId12" Type="http://schemas.openxmlformats.org/officeDocument/2006/relationships/table" Target="../tables/table23.xml"/><Relationship Id="rId17" Type="http://schemas.openxmlformats.org/officeDocument/2006/relationships/table" Target="../tables/table28.xml"/><Relationship Id="rId2" Type="http://schemas.openxmlformats.org/officeDocument/2006/relationships/drawing" Target="../drawings/drawing2.xml"/><Relationship Id="rId16" Type="http://schemas.openxmlformats.org/officeDocument/2006/relationships/table" Target="../tables/table27.xml"/><Relationship Id="rId20" Type="http://schemas.openxmlformats.org/officeDocument/2006/relationships/table" Target="../tables/table31.xml"/><Relationship Id="rId1" Type="http://schemas.openxmlformats.org/officeDocument/2006/relationships/printerSettings" Target="../printerSettings/printerSettings3.bin"/><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5" Type="http://schemas.openxmlformats.org/officeDocument/2006/relationships/table" Target="../tables/table26.xml"/><Relationship Id="rId23" Type="http://schemas.openxmlformats.org/officeDocument/2006/relationships/table" Target="../tables/table34.xml"/><Relationship Id="rId10" Type="http://schemas.openxmlformats.org/officeDocument/2006/relationships/table" Target="../tables/table21.xml"/><Relationship Id="rId19" Type="http://schemas.openxmlformats.org/officeDocument/2006/relationships/table" Target="../tables/table30.xml"/><Relationship Id="rId4" Type="http://schemas.openxmlformats.org/officeDocument/2006/relationships/table" Target="../tables/table15.xml"/><Relationship Id="rId9" Type="http://schemas.openxmlformats.org/officeDocument/2006/relationships/table" Target="../tables/table20.xml"/><Relationship Id="rId14" Type="http://schemas.openxmlformats.org/officeDocument/2006/relationships/table" Target="../tables/table25.xml"/><Relationship Id="rId22" Type="http://schemas.openxmlformats.org/officeDocument/2006/relationships/table" Target="../tables/table3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40.xml"/><Relationship Id="rId13" Type="http://schemas.openxmlformats.org/officeDocument/2006/relationships/table" Target="../tables/table45.xml"/><Relationship Id="rId18" Type="http://schemas.openxmlformats.org/officeDocument/2006/relationships/table" Target="../tables/table50.xml"/><Relationship Id="rId3" Type="http://schemas.openxmlformats.org/officeDocument/2006/relationships/table" Target="../tables/table35.xml"/><Relationship Id="rId21" Type="http://schemas.openxmlformats.org/officeDocument/2006/relationships/table" Target="../tables/table53.xml"/><Relationship Id="rId7" Type="http://schemas.openxmlformats.org/officeDocument/2006/relationships/table" Target="../tables/table39.xml"/><Relationship Id="rId12" Type="http://schemas.openxmlformats.org/officeDocument/2006/relationships/table" Target="../tables/table44.xml"/><Relationship Id="rId17" Type="http://schemas.openxmlformats.org/officeDocument/2006/relationships/table" Target="../tables/table49.xml"/><Relationship Id="rId2" Type="http://schemas.openxmlformats.org/officeDocument/2006/relationships/drawing" Target="../drawings/drawing3.xml"/><Relationship Id="rId16" Type="http://schemas.openxmlformats.org/officeDocument/2006/relationships/table" Target="../tables/table48.xml"/><Relationship Id="rId20" Type="http://schemas.openxmlformats.org/officeDocument/2006/relationships/table" Target="../tables/table52.xml"/><Relationship Id="rId1" Type="http://schemas.openxmlformats.org/officeDocument/2006/relationships/printerSettings" Target="../printerSettings/printerSettings4.bin"/><Relationship Id="rId6" Type="http://schemas.openxmlformats.org/officeDocument/2006/relationships/table" Target="../tables/table38.xml"/><Relationship Id="rId11" Type="http://schemas.openxmlformats.org/officeDocument/2006/relationships/table" Target="../tables/table43.xml"/><Relationship Id="rId5" Type="http://schemas.openxmlformats.org/officeDocument/2006/relationships/table" Target="../tables/table37.xml"/><Relationship Id="rId15" Type="http://schemas.openxmlformats.org/officeDocument/2006/relationships/table" Target="../tables/table47.xml"/><Relationship Id="rId23" Type="http://schemas.openxmlformats.org/officeDocument/2006/relationships/table" Target="../tables/table55.xml"/><Relationship Id="rId10" Type="http://schemas.openxmlformats.org/officeDocument/2006/relationships/table" Target="../tables/table42.xml"/><Relationship Id="rId19" Type="http://schemas.openxmlformats.org/officeDocument/2006/relationships/table" Target="../tables/table51.xml"/><Relationship Id="rId4" Type="http://schemas.openxmlformats.org/officeDocument/2006/relationships/table" Target="../tables/table36.xml"/><Relationship Id="rId9" Type="http://schemas.openxmlformats.org/officeDocument/2006/relationships/table" Target="../tables/table41.xml"/><Relationship Id="rId14" Type="http://schemas.openxmlformats.org/officeDocument/2006/relationships/table" Target="../tables/table46.xml"/><Relationship Id="rId22" Type="http://schemas.openxmlformats.org/officeDocument/2006/relationships/table" Target="../tables/table5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61.xml"/><Relationship Id="rId13" Type="http://schemas.openxmlformats.org/officeDocument/2006/relationships/table" Target="../tables/table66.xml"/><Relationship Id="rId18" Type="http://schemas.openxmlformats.org/officeDocument/2006/relationships/table" Target="../tables/table71.xml"/><Relationship Id="rId3" Type="http://schemas.openxmlformats.org/officeDocument/2006/relationships/table" Target="../tables/table56.xml"/><Relationship Id="rId21" Type="http://schemas.openxmlformats.org/officeDocument/2006/relationships/table" Target="../tables/table74.xml"/><Relationship Id="rId7" Type="http://schemas.openxmlformats.org/officeDocument/2006/relationships/table" Target="../tables/table60.xml"/><Relationship Id="rId12" Type="http://schemas.openxmlformats.org/officeDocument/2006/relationships/table" Target="../tables/table65.xml"/><Relationship Id="rId17" Type="http://schemas.openxmlformats.org/officeDocument/2006/relationships/table" Target="../tables/table70.xml"/><Relationship Id="rId2" Type="http://schemas.openxmlformats.org/officeDocument/2006/relationships/drawing" Target="../drawings/drawing4.xml"/><Relationship Id="rId16" Type="http://schemas.openxmlformats.org/officeDocument/2006/relationships/table" Target="../tables/table69.xml"/><Relationship Id="rId20" Type="http://schemas.openxmlformats.org/officeDocument/2006/relationships/table" Target="../tables/table73.xml"/><Relationship Id="rId1" Type="http://schemas.openxmlformats.org/officeDocument/2006/relationships/printerSettings" Target="../printerSettings/printerSettings5.bin"/><Relationship Id="rId6" Type="http://schemas.openxmlformats.org/officeDocument/2006/relationships/table" Target="../tables/table59.xml"/><Relationship Id="rId11" Type="http://schemas.openxmlformats.org/officeDocument/2006/relationships/table" Target="../tables/table64.xml"/><Relationship Id="rId5" Type="http://schemas.openxmlformats.org/officeDocument/2006/relationships/table" Target="../tables/table58.xml"/><Relationship Id="rId15" Type="http://schemas.openxmlformats.org/officeDocument/2006/relationships/table" Target="../tables/table68.xml"/><Relationship Id="rId23" Type="http://schemas.openxmlformats.org/officeDocument/2006/relationships/table" Target="../tables/table76.xml"/><Relationship Id="rId10" Type="http://schemas.openxmlformats.org/officeDocument/2006/relationships/table" Target="../tables/table63.xml"/><Relationship Id="rId19" Type="http://schemas.openxmlformats.org/officeDocument/2006/relationships/table" Target="../tables/table72.xml"/><Relationship Id="rId4" Type="http://schemas.openxmlformats.org/officeDocument/2006/relationships/table" Target="../tables/table57.xml"/><Relationship Id="rId9" Type="http://schemas.openxmlformats.org/officeDocument/2006/relationships/table" Target="../tables/table62.xml"/><Relationship Id="rId14" Type="http://schemas.openxmlformats.org/officeDocument/2006/relationships/table" Target="../tables/table67.xml"/><Relationship Id="rId22" Type="http://schemas.openxmlformats.org/officeDocument/2006/relationships/table" Target="../tables/table7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77.xml"/><Relationship Id="rId3" Type="http://schemas.openxmlformats.org/officeDocument/2006/relationships/hyperlink" Target="http://www.nj.gov/dep/cleanvehicles/2014ZEV.pdf" TargetMode="External"/><Relationship Id="rId7" Type="http://schemas.openxmlformats.org/officeDocument/2006/relationships/drawing" Target="../drawings/drawing5.xml"/><Relationship Id="rId2" Type="http://schemas.openxmlformats.org/officeDocument/2006/relationships/hyperlink" Target="http://www.dec.ny.gov/chemical/104947.html" TargetMode="External"/><Relationship Id="rId1" Type="http://schemas.openxmlformats.org/officeDocument/2006/relationships/hyperlink" Target="website:%20http://www.arb.ca.gov/msprog/zevprog/zevcredits/2014zevcredits.htm" TargetMode="External"/><Relationship Id="rId6" Type="http://schemas.openxmlformats.org/officeDocument/2006/relationships/printerSettings" Target="../printerSettings/printerSettings6.bin"/><Relationship Id="rId11" Type="http://schemas.openxmlformats.org/officeDocument/2006/relationships/table" Target="../tables/table80.xml"/><Relationship Id="rId5" Type="http://schemas.openxmlformats.org/officeDocument/2006/relationships/hyperlink" Target="http://www.eia.gov/oiaf/aeo/tablebrowser/" TargetMode="External"/><Relationship Id="rId10" Type="http://schemas.openxmlformats.org/officeDocument/2006/relationships/table" Target="../tables/table79.xml"/><Relationship Id="rId4" Type="http://schemas.openxmlformats.org/officeDocument/2006/relationships/hyperlink" Target="http://www.deq.state.or.us/aq/orlev/docs/ZEVcredits.pdf" TargetMode="External"/><Relationship Id="rId9" Type="http://schemas.openxmlformats.org/officeDocument/2006/relationships/table" Target="../tables/table7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3"/>
  <sheetViews>
    <sheetView workbookViewId="0">
      <selection activeCell="D20" sqref="D20"/>
    </sheetView>
  </sheetViews>
  <sheetFormatPr defaultRowHeight="15"/>
  <cols>
    <col min="2" max="2" width="109.7109375" customWidth="1"/>
  </cols>
  <sheetData>
    <row r="1" spans="2:2" ht="89.25" customHeight="1">
      <c r="B1" s="237" t="s">
        <v>283</v>
      </c>
    </row>
    <row r="2" spans="2:2" ht="15.75" thickBot="1">
      <c r="B2" t="s">
        <v>281</v>
      </c>
    </row>
    <row r="3" spans="2:2">
      <c r="B3" s="239" t="s">
        <v>284</v>
      </c>
    </row>
    <row r="4" spans="2:2">
      <c r="B4" s="240" t="s">
        <v>285</v>
      </c>
    </row>
    <row r="5" spans="2:2">
      <c r="B5" s="240" t="s">
        <v>286</v>
      </c>
    </row>
    <row r="6" spans="2:2">
      <c r="B6" s="240" t="s">
        <v>287</v>
      </c>
    </row>
    <row r="7" spans="2:2">
      <c r="B7" s="240" t="s">
        <v>288</v>
      </c>
    </row>
    <row r="8" spans="2:2">
      <c r="B8" s="240" t="s">
        <v>289</v>
      </c>
    </row>
    <row r="9" spans="2:2">
      <c r="B9" s="241" t="s">
        <v>282</v>
      </c>
    </row>
    <row r="10" spans="2:2">
      <c r="B10" s="240"/>
    </row>
    <row r="11" spans="2:2">
      <c r="B11" s="240" t="s">
        <v>290</v>
      </c>
    </row>
    <row r="12" spans="2:2" ht="15.75" thickBot="1">
      <c r="B12" s="242" t="s">
        <v>291</v>
      </c>
    </row>
    <row r="13" spans="2:2">
      <c r="B13" s="283" t="s">
        <v>302</v>
      </c>
    </row>
  </sheetData>
  <hyperlinks>
    <hyperlink ref="B9" r:id="rId1" tooltip="Link to Appendix A of Midterm Review Report"/>
    <hyperlink ref="B12" r:id="rId2" tooltip="Click here to email for more information about Calculator"/>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8" tint="-0.249977111117893"/>
    <pageSetUpPr fitToPage="1"/>
  </sheetPr>
  <dimension ref="A2:AC210"/>
  <sheetViews>
    <sheetView showGridLines="0" topLeftCell="A68" zoomScale="85" zoomScaleNormal="85" zoomScaleSheetLayoutView="40" workbookViewId="0">
      <selection activeCell="D92" sqref="D92"/>
    </sheetView>
  </sheetViews>
  <sheetFormatPr defaultColWidth="8.85546875" defaultRowHeight="19.899999999999999" customHeight="1"/>
  <cols>
    <col min="1" max="1" width="44.28515625" style="61" customWidth="1"/>
    <col min="2" max="2" width="17.7109375" style="62" customWidth="1"/>
    <col min="3" max="9" width="10.7109375" style="62" customWidth="1"/>
    <col min="10" max="10" width="16.5703125" style="61" customWidth="1"/>
    <col min="11" max="11" width="18.7109375" style="61" customWidth="1"/>
    <col min="12" max="12" width="10.42578125" style="61" customWidth="1"/>
    <col min="13" max="13" width="17.140625" style="61" customWidth="1"/>
    <col min="14" max="14" width="29" style="61" customWidth="1"/>
    <col min="15" max="15" width="15.28515625" style="61" customWidth="1"/>
    <col min="16" max="16" width="12.28515625" style="61" customWidth="1"/>
    <col min="17" max="17" width="26.42578125" style="61" customWidth="1"/>
    <col min="18" max="22" width="8.85546875" style="61"/>
    <col min="23" max="23" width="18" style="61" customWidth="1"/>
    <col min="24" max="24" width="8.85546875" style="61"/>
    <col min="25" max="25" width="19.140625" style="61" customWidth="1"/>
    <col min="26" max="28" width="8.85546875" style="61"/>
    <col min="29" max="29" width="0" style="61" hidden="1" customWidth="1"/>
    <col min="30" max="16384" width="8.85546875" style="61"/>
  </cols>
  <sheetData>
    <row r="2" spans="1:29" ht="19.899999999999999" customHeight="1">
      <c r="J2" s="154"/>
      <c r="K2" s="569" t="s">
        <v>272</v>
      </c>
      <c r="L2" s="570"/>
      <c r="M2" s="570"/>
      <c r="N2" s="571"/>
      <c r="O2" s="572"/>
      <c r="P2" s="572"/>
      <c r="Q2" s="572"/>
    </row>
    <row r="3" spans="1:29" ht="19.899999999999999" customHeight="1">
      <c r="J3" s="154"/>
      <c r="K3" s="447"/>
      <c r="L3" s="447"/>
      <c r="M3" s="447"/>
      <c r="N3" s="154"/>
    </row>
    <row r="4" spans="1:29" ht="19.899999999999999" customHeight="1">
      <c r="J4" s="154"/>
      <c r="K4" s="447"/>
      <c r="L4" s="447"/>
      <c r="M4" s="447"/>
      <c r="N4" s="154"/>
    </row>
    <row r="5" spans="1:29" ht="19.899999999999999" customHeight="1">
      <c r="J5" s="154"/>
      <c r="K5" s="447"/>
      <c r="L5" s="447"/>
      <c r="M5" s="447"/>
      <c r="N5" s="154"/>
    </row>
    <row r="6" spans="1:29" ht="17.25" customHeight="1">
      <c r="J6" s="154"/>
      <c r="K6" s="154"/>
      <c r="L6" s="154"/>
      <c r="M6" s="154"/>
      <c r="N6" s="154"/>
    </row>
    <row r="7" spans="1:29" ht="18" customHeight="1">
      <c r="A7" s="61" t="s">
        <v>199</v>
      </c>
      <c r="V7" s="126"/>
      <c r="W7" s="126"/>
    </row>
    <row r="8" spans="1:29" s="63" customFormat="1" ht="47.25" customHeight="1" thickBot="1">
      <c r="A8" s="541" t="s">
        <v>29</v>
      </c>
      <c r="B8" s="542" t="s">
        <v>210</v>
      </c>
      <c r="C8" s="543" t="s">
        <v>292</v>
      </c>
      <c r="D8" s="543" t="s">
        <v>293</v>
      </c>
      <c r="E8" s="543" t="s">
        <v>294</v>
      </c>
      <c r="F8" s="543" t="s">
        <v>295</v>
      </c>
      <c r="G8" s="543" t="s">
        <v>296</v>
      </c>
      <c r="H8" s="543" t="s">
        <v>297</v>
      </c>
      <c r="I8" s="543" t="s">
        <v>298</v>
      </c>
      <c r="J8" s="544" t="s">
        <v>299</v>
      </c>
    </row>
    <row r="9" spans="1:29" s="63" customFormat="1" ht="19.899999999999999" customHeight="1" thickBot="1">
      <c r="A9" s="545" t="s">
        <v>221</v>
      </c>
      <c r="B9" s="546" t="s">
        <v>198</v>
      </c>
      <c r="C9" s="547">
        <v>0.35</v>
      </c>
      <c r="D9" s="548">
        <v>0.35</v>
      </c>
      <c r="E9" s="548">
        <v>0.35</v>
      </c>
      <c r="F9" s="548">
        <v>0.35</v>
      </c>
      <c r="G9" s="548">
        <v>0.45</v>
      </c>
      <c r="H9" s="548">
        <v>0.45</v>
      </c>
      <c r="I9" s="548">
        <v>0.45</v>
      </c>
      <c r="J9" s="549">
        <v>0.45</v>
      </c>
    </row>
    <row r="10" spans="1:29" s="63" customFormat="1" ht="19.899999999999999" customHeight="1" thickBot="1">
      <c r="A10" s="550" t="s">
        <v>211</v>
      </c>
      <c r="B10" s="551">
        <v>0.05</v>
      </c>
      <c r="C10" s="552">
        <v>150</v>
      </c>
      <c r="D10" s="553">
        <f>C10*(1+$B$10)</f>
        <v>157.5</v>
      </c>
      <c r="E10" s="554">
        <f t="shared" ref="E10:J10" si="0">D10*(1+$B$10)</f>
        <v>165.375</v>
      </c>
      <c r="F10" s="554">
        <f t="shared" si="0"/>
        <v>173.64375000000001</v>
      </c>
      <c r="G10" s="554">
        <f t="shared" si="0"/>
        <v>182.32593750000001</v>
      </c>
      <c r="H10" s="554">
        <f t="shared" si="0"/>
        <v>191.44223437500003</v>
      </c>
      <c r="I10" s="554">
        <f t="shared" si="0"/>
        <v>201.01434609375005</v>
      </c>
      <c r="J10" s="555">
        <f t="shared" si="0"/>
        <v>211.06506339843756</v>
      </c>
    </row>
    <row r="11" spans="1:29" s="63" customFormat="1" ht="19.899999999999999" customHeight="1" thickBot="1">
      <c r="A11" s="550" t="s">
        <v>124</v>
      </c>
      <c r="B11" s="556" t="s">
        <v>198</v>
      </c>
      <c r="C11" s="547">
        <v>0.65</v>
      </c>
      <c r="D11" s="548">
        <v>0.65</v>
      </c>
      <c r="E11" s="548">
        <v>0.65</v>
      </c>
      <c r="F11" s="548">
        <v>0.65</v>
      </c>
      <c r="G11" s="548">
        <v>0.5</v>
      </c>
      <c r="H11" s="548">
        <v>0.5</v>
      </c>
      <c r="I11" s="548">
        <v>0.5</v>
      </c>
      <c r="J11" s="549">
        <v>0.5</v>
      </c>
    </row>
    <row r="12" spans="1:29" s="63" customFormat="1" ht="19.899999999999999" customHeight="1" thickBot="1">
      <c r="A12" s="550" t="s">
        <v>212</v>
      </c>
      <c r="B12" s="551">
        <v>0.05</v>
      </c>
      <c r="C12" s="552">
        <v>20</v>
      </c>
      <c r="D12" s="557">
        <f>C12*(1+$B$12)</f>
        <v>21</v>
      </c>
      <c r="E12" s="557">
        <f t="shared" ref="E12:J12" si="1">D12*(1+$B$12)</f>
        <v>22.05</v>
      </c>
      <c r="F12" s="557">
        <f t="shared" si="1"/>
        <v>23.152500000000003</v>
      </c>
      <c r="G12" s="557">
        <f t="shared" si="1"/>
        <v>24.310125000000003</v>
      </c>
      <c r="H12" s="557">
        <f t="shared" si="1"/>
        <v>25.525631250000004</v>
      </c>
      <c r="I12" s="557">
        <f t="shared" si="1"/>
        <v>26.801912812500007</v>
      </c>
      <c r="J12" s="558">
        <f t="shared" si="1"/>
        <v>28.142008453125008</v>
      </c>
    </row>
    <row r="13" spans="1:29" s="63" customFormat="1" ht="19.899999999999999" customHeight="1">
      <c r="A13" s="559" t="s">
        <v>213</v>
      </c>
      <c r="B13" s="560">
        <v>0.05</v>
      </c>
      <c r="C13" s="561">
        <v>40</v>
      </c>
      <c r="D13" s="562">
        <f>C13*(1+$B$13)</f>
        <v>42</v>
      </c>
      <c r="E13" s="562">
        <f t="shared" ref="E13:J13" si="2">D13*(1+$B$13)</f>
        <v>44.1</v>
      </c>
      <c r="F13" s="562">
        <f t="shared" si="2"/>
        <v>46.305000000000007</v>
      </c>
      <c r="G13" s="562">
        <f t="shared" si="2"/>
        <v>48.620250000000006</v>
      </c>
      <c r="H13" s="562">
        <f t="shared" si="2"/>
        <v>51.051262500000007</v>
      </c>
      <c r="I13" s="562">
        <f t="shared" si="2"/>
        <v>53.603825625000013</v>
      </c>
      <c r="J13" s="563">
        <f t="shared" si="2"/>
        <v>56.284016906250017</v>
      </c>
    </row>
    <row r="14" spans="1:29" ht="19.899999999999999" customHeight="1">
      <c r="A14" s="564" t="s">
        <v>279</v>
      </c>
      <c r="B14" s="565"/>
      <c r="C14" s="566"/>
      <c r="D14" s="566"/>
      <c r="E14" s="566"/>
      <c r="F14" s="566"/>
      <c r="G14" s="566"/>
      <c r="H14" s="566"/>
      <c r="I14" s="566"/>
      <c r="J14" s="566"/>
      <c r="AC14" s="141">
        <v>0.05</v>
      </c>
    </row>
    <row r="15" spans="1:29" s="63" customFormat="1" ht="47.25" customHeight="1" thickBot="1">
      <c r="A15" s="567" t="s">
        <v>29</v>
      </c>
      <c r="B15" s="542" t="s">
        <v>210</v>
      </c>
      <c r="C15" s="568" t="s">
        <v>292</v>
      </c>
      <c r="D15" s="543" t="s">
        <v>293</v>
      </c>
      <c r="E15" s="543" t="s">
        <v>294</v>
      </c>
      <c r="F15" s="543" t="s">
        <v>295</v>
      </c>
      <c r="G15" s="543" t="s">
        <v>296</v>
      </c>
      <c r="H15" s="543" t="s">
        <v>297</v>
      </c>
      <c r="I15" s="543" t="s">
        <v>298</v>
      </c>
      <c r="J15" s="544" t="s">
        <v>299</v>
      </c>
      <c r="AC15" s="142">
        <v>7.4999999999999997E-2</v>
      </c>
    </row>
    <row r="16" spans="1:29" s="63" customFormat="1" ht="19.899999999999999" customHeight="1" thickBot="1">
      <c r="A16" s="545" t="s">
        <v>221</v>
      </c>
      <c r="B16" s="546" t="s">
        <v>198</v>
      </c>
      <c r="C16" s="547">
        <v>0.05</v>
      </c>
      <c r="D16" s="548">
        <v>0.05</v>
      </c>
      <c r="E16" s="548">
        <v>0.05</v>
      </c>
      <c r="F16" s="548">
        <v>0.05</v>
      </c>
      <c r="G16" s="548">
        <v>0.05</v>
      </c>
      <c r="H16" s="548">
        <v>0.05</v>
      </c>
      <c r="I16" s="548">
        <v>0.05</v>
      </c>
      <c r="J16" s="549">
        <v>0.05</v>
      </c>
      <c r="AC16" s="139">
        <v>0.1</v>
      </c>
    </row>
    <row r="17" spans="1:29" s="63" customFormat="1" ht="19.899999999999999" customHeight="1" thickBot="1">
      <c r="A17" s="550" t="s">
        <v>211</v>
      </c>
      <c r="B17" s="551">
        <v>2.5000000000000001E-2</v>
      </c>
      <c r="C17" s="552">
        <v>150</v>
      </c>
      <c r="D17" s="553">
        <f>C17*(1+$B$17)</f>
        <v>153.75</v>
      </c>
      <c r="E17" s="554">
        <f t="shared" ref="E17:J17" si="3">D17*(1+$B$17)</f>
        <v>157.59375</v>
      </c>
      <c r="F17" s="554">
        <f t="shared" si="3"/>
        <v>161.53359374999999</v>
      </c>
      <c r="G17" s="554">
        <f t="shared" si="3"/>
        <v>165.57193359374997</v>
      </c>
      <c r="H17" s="554">
        <f t="shared" si="3"/>
        <v>169.71123193359372</v>
      </c>
      <c r="I17" s="554">
        <f t="shared" si="3"/>
        <v>173.95401273193355</v>
      </c>
      <c r="J17" s="555">
        <f t="shared" si="3"/>
        <v>178.30286305023188</v>
      </c>
      <c r="AC17" s="139">
        <v>0.2</v>
      </c>
    </row>
    <row r="18" spans="1:29" s="63" customFormat="1" ht="19.899999999999999" customHeight="1" thickBot="1">
      <c r="A18" s="550" t="s">
        <v>123</v>
      </c>
      <c r="B18" s="556" t="s">
        <v>198</v>
      </c>
      <c r="C18" s="547">
        <v>0.65</v>
      </c>
      <c r="D18" s="548">
        <v>0.65</v>
      </c>
      <c r="E18" s="548">
        <v>0.65</v>
      </c>
      <c r="F18" s="548">
        <v>0.65</v>
      </c>
      <c r="G18" s="548">
        <v>0.65</v>
      </c>
      <c r="H18" s="548">
        <v>0.65</v>
      </c>
      <c r="I18" s="548">
        <v>0.65</v>
      </c>
      <c r="J18" s="549">
        <v>0.65</v>
      </c>
    </row>
    <row r="19" spans="1:29" s="63" customFormat="1" ht="19.899999999999999" customHeight="1" thickBot="1">
      <c r="A19" s="550" t="s">
        <v>214</v>
      </c>
      <c r="B19" s="551">
        <v>2.5000000000000001E-2</v>
      </c>
      <c r="C19" s="552">
        <v>20</v>
      </c>
      <c r="D19" s="557">
        <f>C19*(1+$B$19)</f>
        <v>20.5</v>
      </c>
      <c r="E19" s="557">
        <f t="shared" ref="E19:J19" si="4">D19*(1+$B$19)</f>
        <v>21.012499999999999</v>
      </c>
      <c r="F19" s="557">
        <f t="shared" si="4"/>
        <v>21.537812499999998</v>
      </c>
      <c r="G19" s="557">
        <f t="shared" si="4"/>
        <v>22.076257812499996</v>
      </c>
      <c r="H19" s="557">
        <f t="shared" si="4"/>
        <v>22.628164257812493</v>
      </c>
      <c r="I19" s="557">
        <f t="shared" si="4"/>
        <v>23.193868364257803</v>
      </c>
      <c r="J19" s="558">
        <f t="shared" si="4"/>
        <v>23.773715073364247</v>
      </c>
    </row>
    <row r="20" spans="1:29" s="63" customFormat="1" ht="19.899999999999999" customHeight="1">
      <c r="A20" s="559" t="s">
        <v>215</v>
      </c>
      <c r="B20" s="560">
        <v>2.5000000000000001E-2</v>
      </c>
      <c r="C20" s="561">
        <v>40</v>
      </c>
      <c r="D20" s="562">
        <f>C20*(1+$B$20)</f>
        <v>41</v>
      </c>
      <c r="E20" s="562">
        <f t="shared" ref="E20:J20" si="5">D20*(1+$B$20)</f>
        <v>42.024999999999999</v>
      </c>
      <c r="F20" s="562">
        <f t="shared" si="5"/>
        <v>43.075624999999995</v>
      </c>
      <c r="G20" s="562">
        <f t="shared" si="5"/>
        <v>44.152515624999992</v>
      </c>
      <c r="H20" s="562">
        <f t="shared" si="5"/>
        <v>45.256328515624986</v>
      </c>
      <c r="I20" s="562">
        <f t="shared" si="5"/>
        <v>46.387736728515605</v>
      </c>
      <c r="J20" s="563">
        <f t="shared" si="5"/>
        <v>47.547430146728495</v>
      </c>
    </row>
    <row r="21" spans="1:29" ht="19.899999999999999" customHeight="1" thickBot="1">
      <c r="A21" s="564" t="s">
        <v>200</v>
      </c>
      <c r="B21" s="565"/>
      <c r="C21" s="566"/>
      <c r="D21" s="566"/>
      <c r="E21" s="566"/>
      <c r="F21" s="566"/>
      <c r="G21" s="566"/>
      <c r="H21" s="566"/>
      <c r="I21" s="566"/>
      <c r="J21" s="566"/>
    </row>
    <row r="22" spans="1:29" s="63" customFormat="1" ht="45.75" customHeight="1" thickBot="1">
      <c r="A22" s="541" t="s">
        <v>29</v>
      </c>
      <c r="B22" s="542" t="s">
        <v>210</v>
      </c>
      <c r="C22" s="543" t="s">
        <v>292</v>
      </c>
      <c r="D22" s="543" t="s">
        <v>293</v>
      </c>
      <c r="E22" s="543" t="s">
        <v>294</v>
      </c>
      <c r="F22" s="543" t="s">
        <v>295</v>
      </c>
      <c r="G22" s="543" t="s">
        <v>296</v>
      </c>
      <c r="H22" s="543" t="s">
        <v>297</v>
      </c>
      <c r="I22" s="543" t="s">
        <v>298</v>
      </c>
      <c r="J22" s="544" t="s">
        <v>299</v>
      </c>
      <c r="L22" s="131" t="str">
        <f>'Sales-Mkt Shares Reference'!A46</f>
        <v>Large Volume Manufacturer Market Share</v>
      </c>
      <c r="M22" s="134"/>
      <c r="N22" s="266"/>
    </row>
    <row r="23" spans="1:29" s="63" customFormat="1" ht="19.899999999999999" customHeight="1" thickBot="1">
      <c r="A23" s="243" t="s">
        <v>221</v>
      </c>
      <c r="B23" s="214" t="s">
        <v>198</v>
      </c>
      <c r="C23" s="231">
        <v>0.4</v>
      </c>
      <c r="D23" s="232">
        <v>0.4</v>
      </c>
      <c r="E23" s="232">
        <v>0.4</v>
      </c>
      <c r="F23" s="232">
        <v>0.4</v>
      </c>
      <c r="G23" s="232">
        <v>0.5</v>
      </c>
      <c r="H23" s="232">
        <v>0.5</v>
      </c>
      <c r="I23" s="232">
        <v>0.5</v>
      </c>
      <c r="J23" s="245">
        <v>0.5</v>
      </c>
      <c r="L23" s="270" t="s">
        <v>301</v>
      </c>
      <c r="M23" s="270" t="s">
        <v>83</v>
      </c>
      <c r="N23" s="270" t="s">
        <v>104</v>
      </c>
    </row>
    <row r="24" spans="1:29" s="63" customFormat="1" ht="19.899999999999999" customHeight="1" thickBot="1">
      <c r="A24" s="253" t="s">
        <v>211</v>
      </c>
      <c r="B24" s="233">
        <v>7.4999999999999997E-2</v>
      </c>
      <c r="C24" s="234">
        <v>180</v>
      </c>
      <c r="D24" s="213">
        <f>C24*(1+$B$24)</f>
        <v>193.5</v>
      </c>
      <c r="E24" s="212">
        <f t="shared" ref="E24:J24" si="6">D24*(1+$B$24)</f>
        <v>208.01249999999999</v>
      </c>
      <c r="F24" s="212">
        <f t="shared" si="6"/>
        <v>223.61343749999997</v>
      </c>
      <c r="G24" s="212">
        <f t="shared" si="6"/>
        <v>240.38444531249996</v>
      </c>
      <c r="H24" s="212">
        <f t="shared" si="6"/>
        <v>258.41327871093745</v>
      </c>
      <c r="I24" s="212">
        <f t="shared" si="6"/>
        <v>277.79427461425774</v>
      </c>
      <c r="J24" s="246">
        <f t="shared" si="6"/>
        <v>298.62884521032709</v>
      </c>
      <c r="L24" s="133" t="str">
        <f>'Sales-Mkt Shares Reference'!A48</f>
        <v>BMW</v>
      </c>
      <c r="M24" s="136">
        <f>'Sales-Mkt Shares Reference'!B48</f>
        <v>5.0395186821820488E-2</v>
      </c>
      <c r="N24" s="136">
        <f>'Sales-Mkt Shares Reference'!C48</f>
        <v>4.9959487512099533E-2</v>
      </c>
    </row>
    <row r="25" spans="1:29" s="63" customFormat="1" ht="19.899999999999999" customHeight="1" thickBot="1">
      <c r="A25" s="244" t="s">
        <v>125</v>
      </c>
      <c r="B25" s="143" t="s">
        <v>198</v>
      </c>
      <c r="C25" s="231">
        <v>0.5</v>
      </c>
      <c r="D25" s="232">
        <v>0.5</v>
      </c>
      <c r="E25" s="232">
        <v>0.5</v>
      </c>
      <c r="F25" s="232">
        <v>0.5</v>
      </c>
      <c r="G25" s="232">
        <v>0.5</v>
      </c>
      <c r="H25" s="232">
        <v>0.5</v>
      </c>
      <c r="I25" s="232">
        <v>0.5</v>
      </c>
      <c r="J25" s="245">
        <v>0.5</v>
      </c>
      <c r="L25" s="133" t="str">
        <f>'Sales-Mkt Shares Reference'!A49</f>
        <v>FCA</v>
      </c>
      <c r="M25" s="136">
        <f>'Sales-Mkt Shares Reference'!B49</f>
        <v>9.0645884113901079E-2</v>
      </c>
      <c r="N25" s="136">
        <f>'Sales-Mkt Shares Reference'!C49</f>
        <v>0.13828853959873907</v>
      </c>
    </row>
    <row r="26" spans="1:29" s="63" customFormat="1" ht="19.899999999999999" customHeight="1" thickBot="1">
      <c r="A26" s="244" t="s">
        <v>214</v>
      </c>
      <c r="B26" s="233">
        <v>7.4999999999999997E-2</v>
      </c>
      <c r="C26" s="234">
        <v>25</v>
      </c>
      <c r="D26" s="140">
        <f>C26*(1+$B$26)</f>
        <v>26.875</v>
      </c>
      <c r="E26" s="140">
        <f t="shared" ref="E26:J26" si="7">D26*(1+$B$26)</f>
        <v>28.890625</v>
      </c>
      <c r="F26" s="140">
        <f t="shared" si="7"/>
        <v>31.057421874999999</v>
      </c>
      <c r="G26" s="140">
        <f t="shared" si="7"/>
        <v>33.386728515624995</v>
      </c>
      <c r="H26" s="140">
        <f t="shared" si="7"/>
        <v>35.890733154296868</v>
      </c>
      <c r="I26" s="140">
        <f t="shared" si="7"/>
        <v>38.582538140869133</v>
      </c>
      <c r="J26" s="247">
        <f t="shared" si="7"/>
        <v>41.476228501434314</v>
      </c>
      <c r="L26" s="133" t="str">
        <f>'Sales-Mkt Shares Reference'!A50</f>
        <v>Ford</v>
      </c>
      <c r="M26" s="136">
        <f>'Sales-Mkt Shares Reference'!B50</f>
        <v>0.12462616858641802</v>
      </c>
      <c r="N26" s="136">
        <f>'Sales-Mkt Shares Reference'!C50</f>
        <v>0.13057375277065331</v>
      </c>
    </row>
    <row r="27" spans="1:29" s="63" customFormat="1" ht="19.899999999999999" customHeight="1">
      <c r="A27" s="248" t="s">
        <v>215</v>
      </c>
      <c r="B27" s="249">
        <v>7.4999999999999997E-2</v>
      </c>
      <c r="C27" s="250">
        <v>45</v>
      </c>
      <c r="D27" s="251">
        <f>C27*(1+$B$27)</f>
        <v>48.375</v>
      </c>
      <c r="E27" s="251">
        <f t="shared" ref="E27:J27" si="8">D27*(1+$B$27)</f>
        <v>52.003124999999997</v>
      </c>
      <c r="F27" s="251">
        <f t="shared" si="8"/>
        <v>55.903359374999994</v>
      </c>
      <c r="G27" s="251">
        <f t="shared" si="8"/>
        <v>60.096111328124991</v>
      </c>
      <c r="H27" s="251">
        <f t="shared" si="8"/>
        <v>64.603319677734362</v>
      </c>
      <c r="I27" s="251">
        <f t="shared" si="8"/>
        <v>69.448568653564436</v>
      </c>
      <c r="J27" s="252">
        <f t="shared" si="8"/>
        <v>74.657211302581771</v>
      </c>
      <c r="L27" s="133" t="str">
        <f>'Sales-Mkt Shares Reference'!A51</f>
        <v>General Motors</v>
      </c>
      <c r="M27" s="136">
        <f>'Sales-Mkt Shares Reference'!B51</f>
        <v>0.1189602047257894</v>
      </c>
      <c r="N27" s="136">
        <f>'Sales-Mkt Shares Reference'!C51</f>
        <v>0.14577004283875242</v>
      </c>
    </row>
    <row r="28" spans="1:29" ht="39.75" customHeight="1" thickBot="1">
      <c r="A28" s="72" t="s">
        <v>62</v>
      </c>
      <c r="L28" s="133" t="str">
        <f>'Sales-Mkt Shares Reference'!A52</f>
        <v>Honda</v>
      </c>
      <c r="M28" s="136">
        <f>'Sales-Mkt Shares Reference'!B52</f>
        <v>0.13396532227442101</v>
      </c>
      <c r="N28" s="136">
        <f>'Sales-Mkt Shares Reference'!C52</f>
        <v>0.13765571679503835</v>
      </c>
    </row>
    <row r="29" spans="1:29" ht="19.899999999999999" customHeight="1" thickBot="1">
      <c r="A29" s="69" t="s">
        <v>40</v>
      </c>
      <c r="B29" s="70"/>
      <c r="C29" s="70"/>
      <c r="D29" s="70"/>
      <c r="E29" s="70"/>
      <c r="F29" s="70"/>
      <c r="G29" s="70"/>
      <c r="H29" s="70"/>
      <c r="I29" s="70"/>
      <c r="J29" s="71"/>
      <c r="L29" s="133" t="str">
        <f>'Sales-Mkt Shares Reference'!A53</f>
        <v>Hyundai</v>
      </c>
      <c r="M29" s="136">
        <f>'Sales-Mkt Shares Reference'!B53</f>
        <v>3.6598371087549125E-2</v>
      </c>
      <c r="N29" s="136">
        <f>'Sales-Mkt Shares Reference'!C53</f>
        <v>4.0522344953484564E-2</v>
      </c>
    </row>
    <row r="30" spans="1:29" ht="19.899999999999999" customHeight="1">
      <c r="A30" s="533" t="s">
        <v>300</v>
      </c>
      <c r="B30" s="534" t="s">
        <v>292</v>
      </c>
      <c r="C30" s="534" t="s">
        <v>293</v>
      </c>
      <c r="D30" s="534" t="s">
        <v>294</v>
      </c>
      <c r="E30" s="534" t="s">
        <v>295</v>
      </c>
      <c r="F30" s="534" t="s">
        <v>296</v>
      </c>
      <c r="G30" s="534" t="s">
        <v>297</v>
      </c>
      <c r="H30" s="534" t="s">
        <v>298</v>
      </c>
      <c r="I30" s="535" t="s">
        <v>299</v>
      </c>
      <c r="J30" s="536" t="s">
        <v>54</v>
      </c>
      <c r="L30" s="133" t="str">
        <f>'Sales-Mkt Shares Reference'!A54</f>
        <v>Kia</v>
      </c>
      <c r="M30" s="136">
        <f>'Sales-Mkt Shares Reference'!B54</f>
        <v>3.4819598214312325E-2</v>
      </c>
      <c r="N30" s="136">
        <f>'Sales-Mkt Shares Reference'!C54</f>
        <v>3.1793595938368446E-2</v>
      </c>
      <c r="Q30" s="154"/>
      <c r="R30" s="90"/>
      <c r="S30" s="154"/>
    </row>
    <row r="31" spans="1:29" ht="19.899999999999999" customHeight="1">
      <c r="A31" s="490" t="s">
        <v>217</v>
      </c>
      <c r="B31" s="492">
        <f>'Compliance Calculator 1'!B159</f>
        <v>2942.7530006208181</v>
      </c>
      <c r="C31" s="492">
        <f>'Compliance Calculator 1'!C159</f>
        <v>6214.9214183552713</v>
      </c>
      <c r="D31" s="492">
        <f>'Compliance Calculator 1'!D159</f>
        <v>10625.561413614027</v>
      </c>
      <c r="E31" s="492">
        <f>'Compliance Calculator 1'!E159</f>
        <v>15422.188286359504</v>
      </c>
      <c r="F31" s="492">
        <f>'Compliance Calculator 1'!F159</f>
        <v>21638.535191738352</v>
      </c>
      <c r="G31" s="492">
        <f>'Compliance Calculator 1'!G159</f>
        <v>27766.479055047454</v>
      </c>
      <c r="H31" s="492">
        <f>'Compliance Calculator 1'!H159</f>
        <v>35174.115178757922</v>
      </c>
      <c r="I31" s="493">
        <f>'Compliance Calculator 1'!I159</f>
        <v>43588.861173271893</v>
      </c>
      <c r="J31" s="494">
        <f>SUM(B31:I31)</f>
        <v>163373.41471776523</v>
      </c>
      <c r="L31" s="133" t="str">
        <f>'Sales-Mkt Shares Reference'!A55</f>
        <v xml:space="preserve">Mercedes </v>
      </c>
      <c r="M31" s="136">
        <f>'Sales-Mkt Shares Reference'!B55</f>
        <v>5.040353227095766E-2</v>
      </c>
      <c r="N31" s="136">
        <f>'Sales-Mkt Shares Reference'!C55</f>
        <v>4.531287271981721E-2</v>
      </c>
      <c r="Q31" s="90"/>
      <c r="R31" s="111"/>
      <c r="S31" s="154"/>
    </row>
    <row r="32" spans="1:29" ht="19.899999999999999" customHeight="1">
      <c r="A32" s="495" t="s">
        <v>65</v>
      </c>
      <c r="B32" s="497">
        <f>'Compliance Calculator 1'!B160</f>
        <v>13872.978431498137</v>
      </c>
      <c r="C32" s="497">
        <f>'Compliance Calculator 1'!C160</f>
        <v>27250.040065096186</v>
      </c>
      <c r="D32" s="497">
        <f>'Compliance Calculator 1'!D160</f>
        <v>37672.445011904281</v>
      </c>
      <c r="E32" s="497">
        <f>'Compliance Calculator 1'!E160</f>
        <v>46266.564859078513</v>
      </c>
      <c r="F32" s="497">
        <f>'Compliance Calculator 1'!F160</f>
        <v>52550.728322793148</v>
      </c>
      <c r="G32" s="497">
        <f>'Compliance Calculator 1'!G160</f>
        <v>59499.5979751017</v>
      </c>
      <c r="H32" s="497">
        <f>'Compliance Calculator 1'!H160</f>
        <v>64230.992935123162</v>
      </c>
      <c r="I32" s="498">
        <f>'Compliance Calculator 1'!I160</f>
        <v>65383.291759907828</v>
      </c>
      <c r="J32" s="499">
        <f>SUM(B32:I32)</f>
        <v>366726.639360503</v>
      </c>
      <c r="L32" s="133" t="str">
        <f>'Sales-Mkt Shares Reference'!A56</f>
        <v>Nissan</v>
      </c>
      <c r="M32" s="136">
        <f>'Sales-Mkt Shares Reference'!B56</f>
        <v>8.7331548599425005E-2</v>
      </c>
      <c r="N32" s="136">
        <f>'Sales-Mkt Shares Reference'!C56</f>
        <v>9.6005067839524547E-2</v>
      </c>
      <c r="Q32" s="90"/>
      <c r="R32" s="111"/>
      <c r="S32" s="154"/>
    </row>
    <row r="33" spans="1:19" ht="19.899999999999999" customHeight="1">
      <c r="A33" s="500" t="s">
        <v>67</v>
      </c>
      <c r="B33" s="501">
        <f>'Compliance Calculator 1'!B161</f>
        <v>61259.290151869347</v>
      </c>
      <c r="C33" s="501">
        <f>'Compliance Calculator 1'!C161</f>
        <v>75263.168617092844</v>
      </c>
      <c r="D33" s="501">
        <f>'Compliance Calculator 1'!D161</f>
        <v>89095.473277622048</v>
      </c>
      <c r="E33" s="501">
        <f>'Compliance Calculator 1'!E161</f>
        <v>101895.99722970306</v>
      </c>
      <c r="F33" s="501">
        <f>'Compliance Calculator 1'!F161</f>
        <v>116390.81417475773</v>
      </c>
      <c r="G33" s="501">
        <f>'Compliance Calculator 1'!G161</f>
        <v>131157.96439654613</v>
      </c>
      <c r="H33" s="501">
        <f>'Compliance Calculator 1'!H161</f>
        <v>146905.85625489202</v>
      </c>
      <c r="I33" s="527">
        <f>'Compliance Calculator 1'!I161</f>
        <v>161682.84737845772</v>
      </c>
      <c r="J33" s="502">
        <f>SUM(B33:I33)</f>
        <v>883651.41148094088</v>
      </c>
      <c r="L33" s="133" t="str">
        <f>'Sales-Mkt Shares Reference'!A57</f>
        <v>Toyota</v>
      </c>
      <c r="M33" s="136">
        <f>'Sales-Mkt Shares Reference'!B57</f>
        <v>0.21377106406264809</v>
      </c>
      <c r="N33" s="136">
        <f>'Sales-Mkt Shares Reference'!C57</f>
        <v>0.13597476068718117</v>
      </c>
      <c r="Q33" s="90"/>
      <c r="R33" s="111"/>
      <c r="S33" s="154"/>
    </row>
    <row r="34" spans="1:19" ht="19.899999999999999" customHeight="1">
      <c r="A34" s="528" t="s">
        <v>218</v>
      </c>
      <c r="B34" s="505">
        <f>B31</f>
        <v>2942.7530006208181</v>
      </c>
      <c r="C34" s="505">
        <f>SUM($B31:C31)</f>
        <v>9157.6744189760902</v>
      </c>
      <c r="D34" s="505">
        <f>SUM($B31:D31)</f>
        <v>19783.235832590115</v>
      </c>
      <c r="E34" s="505">
        <f>SUM($B31:E31)</f>
        <v>35205.424118949617</v>
      </c>
      <c r="F34" s="505">
        <f>SUM($B31:F31)</f>
        <v>56843.959310687969</v>
      </c>
      <c r="G34" s="505">
        <f>SUM($B31:G31)</f>
        <v>84610.438365735419</v>
      </c>
      <c r="H34" s="505">
        <f>SUM($B31:H31)</f>
        <v>119784.55354449333</v>
      </c>
      <c r="I34" s="506">
        <f>SUM($B31:I31)</f>
        <v>163373.41471776523</v>
      </c>
      <c r="J34" s="507"/>
      <c r="L34" s="133" t="str">
        <f>'Sales-Mkt Shares Reference'!A58</f>
        <v>VW</v>
      </c>
      <c r="M34" s="136">
        <f>'Sales-Mkt Shares Reference'!B58</f>
        <v>5.8483119242757786E-2</v>
      </c>
      <c r="N34" s="136">
        <f>'Sales-Mkt Shares Reference'!C58</f>
        <v>4.8143818346341356E-2</v>
      </c>
      <c r="Q34" s="90"/>
      <c r="R34" s="111"/>
      <c r="S34" s="154"/>
    </row>
    <row r="35" spans="1:19" ht="19.899999999999999" customHeight="1">
      <c r="A35" s="529" t="s">
        <v>69</v>
      </c>
      <c r="B35" s="510">
        <f>B32</f>
        <v>13872.978431498137</v>
      </c>
      <c r="C35" s="510">
        <f>SUM($B32:C32)</f>
        <v>41123.018496594319</v>
      </c>
      <c r="D35" s="510">
        <f>SUM($B32:D32)</f>
        <v>78795.463508498593</v>
      </c>
      <c r="E35" s="510">
        <f>SUM($B32:E32)</f>
        <v>125062.02836757711</v>
      </c>
      <c r="F35" s="510">
        <f>SUM($B32:F32)</f>
        <v>177612.75669037027</v>
      </c>
      <c r="G35" s="510">
        <f>SUM($B32:G32)</f>
        <v>237112.35466547197</v>
      </c>
      <c r="H35" s="510">
        <f>SUM($B32:H32)</f>
        <v>301343.34760059515</v>
      </c>
      <c r="I35" s="511">
        <f>SUM($B32:I32)</f>
        <v>366726.639360503</v>
      </c>
      <c r="J35" s="507"/>
      <c r="L35" s="132"/>
      <c r="M35" s="137"/>
      <c r="N35" s="268"/>
      <c r="Q35" s="90"/>
      <c r="R35" s="111"/>
      <c r="S35" s="154"/>
    </row>
    <row r="36" spans="1:19" ht="19.899999999999999" customHeight="1">
      <c r="A36" s="530" t="s">
        <v>70</v>
      </c>
      <c r="B36" s="514">
        <f>B33</f>
        <v>61259.290151869347</v>
      </c>
      <c r="C36" s="514">
        <f>SUM($B33:C33)</f>
        <v>136522.45876896218</v>
      </c>
      <c r="D36" s="514">
        <f>SUM($B33:D33)</f>
        <v>225617.93204658423</v>
      </c>
      <c r="E36" s="514">
        <f>SUM($B33:E33)</f>
        <v>327513.92927628732</v>
      </c>
      <c r="F36" s="514">
        <f>SUM($B33:F33)</f>
        <v>443904.74345104507</v>
      </c>
      <c r="G36" s="514">
        <f>SUM($B33:G33)</f>
        <v>575062.70784759126</v>
      </c>
      <c r="H36" s="514">
        <f>SUM($B33:H33)</f>
        <v>721968.56410248321</v>
      </c>
      <c r="I36" s="515">
        <f>SUM($B33:I33)</f>
        <v>883651.41148094088</v>
      </c>
      <c r="J36" s="507"/>
      <c r="L36" s="132" t="str">
        <f>'Sales-Mkt Shares Reference'!A60</f>
        <v>Intermediate Volume Manufacturer Market Share</v>
      </c>
      <c r="M36" s="137"/>
      <c r="N36" s="268"/>
      <c r="Q36" s="90"/>
      <c r="R36" s="111"/>
      <c r="S36" s="154"/>
    </row>
    <row r="37" spans="1:19" ht="19.899999999999999" customHeight="1" thickBot="1">
      <c r="A37" s="531" t="s">
        <v>61</v>
      </c>
      <c r="B37" s="518">
        <f>SUM(B31:B33)</f>
        <v>78075.021583988302</v>
      </c>
      <c r="C37" s="518">
        <f>SUM($B31:C33)</f>
        <v>186803.15168453258</v>
      </c>
      <c r="D37" s="518">
        <f>SUM($B31:D33)</f>
        <v>324196.63138767297</v>
      </c>
      <c r="E37" s="518">
        <f>SUM($B31:E33)</f>
        <v>487781.38176281407</v>
      </c>
      <c r="F37" s="518">
        <f>SUM($B31:F33)</f>
        <v>678361.45945210324</v>
      </c>
      <c r="G37" s="518">
        <f>SUM($B31:G33)</f>
        <v>896785.50087879843</v>
      </c>
      <c r="H37" s="518">
        <f>SUM($B31:H33)</f>
        <v>1143096.4652475717</v>
      </c>
      <c r="I37" s="519">
        <f>SUM($B31:I33)</f>
        <v>1413751.465559209</v>
      </c>
      <c r="J37" s="507"/>
      <c r="L37" s="270" t="s">
        <v>301</v>
      </c>
      <c r="M37" s="271" t="s">
        <v>83</v>
      </c>
      <c r="N37" s="272" t="s">
        <v>104</v>
      </c>
      <c r="Q37" s="90"/>
      <c r="R37" s="111"/>
      <c r="S37" s="90"/>
    </row>
    <row r="38" spans="1:19" ht="19.899999999999999" customHeight="1" thickBot="1">
      <c r="A38" s="537" t="s">
        <v>63</v>
      </c>
      <c r="B38" s="538"/>
      <c r="C38" s="538"/>
      <c r="D38" s="538"/>
      <c r="E38" s="538"/>
      <c r="F38" s="538"/>
      <c r="G38" s="538"/>
      <c r="H38" s="538"/>
      <c r="I38" s="538"/>
      <c r="J38" s="539"/>
      <c r="L38" s="133" t="str">
        <f>'Sales-Mkt Shares Reference'!A62</f>
        <v>Fuji/Subaru</v>
      </c>
      <c r="M38" s="136">
        <f>'Sales-Mkt Shares Reference'!B62</f>
        <v>0.39710302630288002</v>
      </c>
      <c r="N38" s="136">
        <f>'Sales-Mkt Shares Reference'!C62</f>
        <v>0.5347154985476863</v>
      </c>
      <c r="Q38" s="90"/>
      <c r="R38" s="111"/>
      <c r="S38" s="154"/>
    </row>
    <row r="39" spans="1:19" ht="19.899999999999999" customHeight="1">
      <c r="A39" s="540" t="s">
        <v>300</v>
      </c>
      <c r="B39" s="534" t="s">
        <v>292</v>
      </c>
      <c r="C39" s="534" t="s">
        <v>293</v>
      </c>
      <c r="D39" s="534" t="s">
        <v>294</v>
      </c>
      <c r="E39" s="534" t="s">
        <v>295</v>
      </c>
      <c r="F39" s="534" t="s">
        <v>296</v>
      </c>
      <c r="G39" s="534" t="s">
        <v>297</v>
      </c>
      <c r="H39" s="534" t="s">
        <v>298</v>
      </c>
      <c r="I39" s="535" t="s">
        <v>299</v>
      </c>
      <c r="J39" s="536" t="s">
        <v>54</v>
      </c>
      <c r="L39" s="133" t="str">
        <f>'Sales-Mkt Shares Reference'!A63</f>
        <v>Jaguar Land Rover</v>
      </c>
      <c r="M39" s="136">
        <f>'Sales-Mkt Shares Reference'!B63</f>
        <v>0.10267845197427687</v>
      </c>
      <c r="N39" s="136">
        <f>'Sales-Mkt Shares Reference'!C63</f>
        <v>8.0801453113872601E-2</v>
      </c>
      <c r="Q39" s="90"/>
      <c r="R39" s="111"/>
      <c r="S39" s="154"/>
    </row>
    <row r="40" spans="1:19" ht="19.899999999999999" customHeight="1">
      <c r="A40" s="73" t="s">
        <v>219</v>
      </c>
      <c r="B40" s="74">
        <f>'Compliance Calculator 1'!B159+'Compliance Calculator 1'!B173</f>
        <v>2942.7530006208181</v>
      </c>
      <c r="C40" s="74">
        <f>'Compliance Calculator 1'!C159+'Compliance Calculator 1'!C173</f>
        <v>6214.9214183552713</v>
      </c>
      <c r="D40" s="74">
        <f>'Compliance Calculator 1'!D159+'Compliance Calculator 1'!D173</f>
        <v>10625.561413614027</v>
      </c>
      <c r="E40" s="74">
        <f>'Compliance Calculator 1'!E159+'Compliance Calculator 1'!E173</f>
        <v>15422.188286359504</v>
      </c>
      <c r="F40" s="74">
        <f>'Compliance Calculator 1'!F159+'Compliance Calculator 1'!F173</f>
        <v>21638.535191738352</v>
      </c>
      <c r="G40" s="74">
        <f>'Compliance Calculator 1'!G159+'Compliance Calculator 1'!G173</f>
        <v>27766.479055047454</v>
      </c>
      <c r="H40" s="74">
        <f>'Compliance Calculator 1'!H159+'Compliance Calculator 1'!H173</f>
        <v>35174.115178757922</v>
      </c>
      <c r="I40" s="75">
        <f>'Compliance Calculator 1'!I159+'Compliance Calculator 1'!I173</f>
        <v>43588.861173271893</v>
      </c>
      <c r="J40" s="259">
        <f>SUM(B40:I40)</f>
        <v>163373.41471776523</v>
      </c>
      <c r="L40" s="133" t="str">
        <f>'Sales-Mkt Shares Reference'!A64</f>
        <v>Mazda</v>
      </c>
      <c r="M40" s="136">
        <f>'Sales-Mkt Shares Reference'!B64</f>
        <v>0.37980859280929741</v>
      </c>
      <c r="N40" s="136">
        <f>'Sales-Mkt Shares Reference'!C64</f>
        <v>0.27645971529850449</v>
      </c>
      <c r="Q40" s="90"/>
      <c r="R40" s="111"/>
      <c r="S40" s="154"/>
    </row>
    <row r="41" spans="1:19" ht="19.899999999999999" customHeight="1">
      <c r="A41" s="76" t="s">
        <v>66</v>
      </c>
      <c r="B41" s="77">
        <f>'Compliance Calculator 1'!B160+'Compliance Calculator 1'!B174</f>
        <v>41618.935294494411</v>
      </c>
      <c r="C41" s="77">
        <f>'Compliance Calculator 1'!C160+'Compliance Calculator 1'!C174</f>
        <v>81750.12019528856</v>
      </c>
      <c r="D41" s="77">
        <f>'Compliance Calculator 1'!D160+'Compliance Calculator 1'!D174</f>
        <v>113017.33503571284</v>
      </c>
      <c r="E41" s="77">
        <f>'Compliance Calculator 1'!E160+'Compliance Calculator 1'!E174</f>
        <v>138799.69457723555</v>
      </c>
      <c r="F41" s="77">
        <f>'Compliance Calculator 1'!F160+'Compliance Calculator 1'!F174</f>
        <v>157652.18496837944</v>
      </c>
      <c r="G41" s="77">
        <f>'Compliance Calculator 1'!G160+'Compliance Calculator 1'!G174</f>
        <v>178498.7939253051</v>
      </c>
      <c r="H41" s="77">
        <f>'Compliance Calculator 1'!H160+'Compliance Calculator 1'!H174</f>
        <v>192692.97880536949</v>
      </c>
      <c r="I41" s="78">
        <f>'Compliance Calculator 1'!I160+'Compliance Calculator 1'!I174</f>
        <v>196149.87527972349</v>
      </c>
      <c r="J41" s="260">
        <f>SUM(B41:I41)</f>
        <v>1100179.9180815089</v>
      </c>
      <c r="L41" s="133" t="str">
        <f>'Sales-Mkt Shares Reference'!A65</f>
        <v>Mitsubishi</v>
      </c>
      <c r="M41" s="136">
        <f>'Sales-Mkt Shares Reference'!B65</f>
        <v>4.0136642971181892E-2</v>
      </c>
      <c r="N41" s="136">
        <f>'Sales-Mkt Shares Reference'!C65</f>
        <v>3.6007777679978877E-2</v>
      </c>
      <c r="Q41" s="90"/>
      <c r="R41" s="111"/>
      <c r="S41" s="154"/>
    </row>
    <row r="42" spans="1:19" ht="19.899999999999999" customHeight="1">
      <c r="A42" s="79" t="s">
        <v>68</v>
      </c>
      <c r="B42" s="96">
        <f>'Compliance Calculator 1'!B161+'Compliance Calculator 1'!B175</f>
        <v>183777.87045560803</v>
      </c>
      <c r="C42" s="96">
        <f>'Compliance Calculator 1'!C161+'Compliance Calculator 1'!C175</f>
        <v>225789.50585127855</v>
      </c>
      <c r="D42" s="96">
        <f>'Compliance Calculator 1'!D161+'Compliance Calculator 1'!D175</f>
        <v>267286.41983286617</v>
      </c>
      <c r="E42" s="96">
        <f>'Compliance Calculator 1'!E161+'Compliance Calculator 1'!E175</f>
        <v>305687.99168910919</v>
      </c>
      <c r="F42" s="96">
        <f>'Compliance Calculator 1'!F161+'Compliance Calculator 1'!F175</f>
        <v>349172.44252427318</v>
      </c>
      <c r="G42" s="96">
        <f>'Compliance Calculator 1'!G161+'Compliance Calculator 1'!G175</f>
        <v>393473.89318963839</v>
      </c>
      <c r="H42" s="96">
        <f>'Compliance Calculator 1'!H161+'Compliance Calculator 1'!H175</f>
        <v>440717.56876467605</v>
      </c>
      <c r="I42" s="96">
        <f>'Compliance Calculator 1'!I161+'Compliance Calculator 1'!I175</f>
        <v>485048.54213537317</v>
      </c>
      <c r="J42" s="261">
        <f>SUM(B42:I42)</f>
        <v>2650954.2344428226</v>
      </c>
      <c r="L42" s="133" t="str">
        <f>'Sales-Mkt Shares Reference'!A66</f>
        <v>Tesla</v>
      </c>
      <c r="M42" s="136">
        <f>'Sales-Mkt Shares Reference'!B66</f>
        <v>4.0136642971181892E-2</v>
      </c>
      <c r="N42" s="136">
        <f>'Sales-Mkt Shares Reference'!C66</f>
        <v>3.6007777679978877E-2</v>
      </c>
      <c r="Q42" s="90"/>
      <c r="R42" s="111"/>
      <c r="S42" s="154"/>
    </row>
    <row r="43" spans="1:19" ht="19.899999999999999" customHeight="1">
      <c r="A43" s="82" t="s">
        <v>220</v>
      </c>
      <c r="B43" s="83">
        <f>B40</f>
        <v>2942.7530006208181</v>
      </c>
      <c r="C43" s="83">
        <f>SUM($B40:C40)</f>
        <v>9157.6744189760902</v>
      </c>
      <c r="D43" s="83">
        <f>SUM($B40:D40)</f>
        <v>19783.235832590115</v>
      </c>
      <c r="E43" s="83">
        <f>SUM($B40:E40)</f>
        <v>35205.424118949617</v>
      </c>
      <c r="F43" s="83">
        <f>SUM($B40:F40)</f>
        <v>56843.959310687969</v>
      </c>
      <c r="G43" s="83">
        <f>SUM($B40:G40)</f>
        <v>84610.438365735419</v>
      </c>
      <c r="H43" s="83">
        <f>SUM($B40:H40)</f>
        <v>119784.55354449333</v>
      </c>
      <c r="I43" s="84">
        <f>SUM($B40:I40)</f>
        <v>163373.41471776523</v>
      </c>
      <c r="J43" s="262"/>
      <c r="L43" s="133" t="str">
        <f>'Sales-Mkt Shares Reference'!A67</f>
        <v>Volvo</v>
      </c>
      <c r="M43" s="136">
        <f>'Sales-Mkt Shares Reference'!B67</f>
        <v>4.0136642971181892E-2</v>
      </c>
      <c r="N43" s="136">
        <f>'Sales-Mkt Shares Reference'!C67</f>
        <v>3.6007777679978877E-2</v>
      </c>
      <c r="Q43" s="90"/>
      <c r="R43" s="111"/>
      <c r="S43" s="154"/>
    </row>
    <row r="44" spans="1:19" ht="19.899999999999999" customHeight="1">
      <c r="A44" s="85" t="s">
        <v>71</v>
      </c>
      <c r="B44" s="86">
        <f>B41</f>
        <v>41618.935294494411</v>
      </c>
      <c r="C44" s="86">
        <f>SUM($B41:C41)</f>
        <v>123369.05548978297</v>
      </c>
      <c r="D44" s="86">
        <f>SUM($B41:D41)</f>
        <v>236386.39052549581</v>
      </c>
      <c r="E44" s="86">
        <f>SUM($B41:E41)</f>
        <v>375186.08510273136</v>
      </c>
      <c r="F44" s="86">
        <f>SUM($B41:F41)</f>
        <v>532838.2700711108</v>
      </c>
      <c r="G44" s="86">
        <f>SUM($B41:G41)</f>
        <v>711337.06399641593</v>
      </c>
      <c r="H44" s="86">
        <f>SUM($B41:H41)</f>
        <v>904030.0428017854</v>
      </c>
      <c r="I44" s="87">
        <f>SUM($B41:I41)</f>
        <v>1100179.9180815089</v>
      </c>
      <c r="J44" s="262"/>
      <c r="Q44" s="90"/>
      <c r="R44" s="111"/>
      <c r="S44" s="154"/>
    </row>
    <row r="45" spans="1:19" ht="19.899999999999999" customHeight="1">
      <c r="A45" s="185" t="s">
        <v>72</v>
      </c>
      <c r="B45" s="186">
        <f>B42</f>
        <v>183777.87045560803</v>
      </c>
      <c r="C45" s="186">
        <f>SUM($B42:C42)</f>
        <v>409567.37630688655</v>
      </c>
      <c r="D45" s="186">
        <f>SUM($B42:D42)</f>
        <v>676853.79613975273</v>
      </c>
      <c r="E45" s="186">
        <f>SUM($B42:E42)</f>
        <v>982541.78782886197</v>
      </c>
      <c r="F45" s="186">
        <f>SUM($B42:F42)</f>
        <v>1331714.2303531351</v>
      </c>
      <c r="G45" s="186">
        <f>SUM($B42:G42)</f>
        <v>1725188.1235427735</v>
      </c>
      <c r="H45" s="186">
        <f>SUM($B42:H42)</f>
        <v>2165905.6923074494</v>
      </c>
      <c r="I45" s="187">
        <f>SUM($B42:I42)</f>
        <v>2650954.2344428226</v>
      </c>
      <c r="J45" s="262"/>
      <c r="Q45" s="90"/>
      <c r="R45" s="111"/>
      <c r="S45" s="154"/>
    </row>
    <row r="46" spans="1:19" ht="19.899999999999999" customHeight="1">
      <c r="A46" s="188" t="s">
        <v>64</v>
      </c>
      <c r="B46" s="83">
        <f>SUM(B40:B42)</f>
        <v>228339.55875072326</v>
      </c>
      <c r="C46" s="83">
        <f>SUM($B40:C42)</f>
        <v>542094.10621564568</v>
      </c>
      <c r="D46" s="83">
        <f>SUM($B40:D42)</f>
        <v>933023.42249783874</v>
      </c>
      <c r="E46" s="83">
        <f>SUM($B40:E42)</f>
        <v>1392933.2970505431</v>
      </c>
      <c r="F46" s="83">
        <f>SUM($B40:F42)</f>
        <v>1921396.4597349339</v>
      </c>
      <c r="G46" s="83">
        <f>SUM($B40:G42)</f>
        <v>2521135.6259049247</v>
      </c>
      <c r="H46" s="83">
        <f>SUM($B40:H42)</f>
        <v>3189720.2886537281</v>
      </c>
      <c r="I46" s="84">
        <f>SUM($B40:I42)</f>
        <v>3914507.5672420966</v>
      </c>
      <c r="J46" s="262"/>
      <c r="Q46" s="90"/>
      <c r="R46" s="111"/>
      <c r="S46" s="154"/>
    </row>
    <row r="47" spans="1:19" ht="19.899999999999999" customHeight="1">
      <c r="A47" s="264" t="s">
        <v>236</v>
      </c>
      <c r="B47" s="186">
        <f>B46-B37</f>
        <v>150264.53716673495</v>
      </c>
      <c r="C47" s="186">
        <f t="shared" ref="C47:I47" si="9">C46-C37</f>
        <v>355290.95453111309</v>
      </c>
      <c r="D47" s="186">
        <f t="shared" si="9"/>
        <v>608826.79111016577</v>
      </c>
      <c r="E47" s="186">
        <f t="shared" si="9"/>
        <v>905151.91528772912</v>
      </c>
      <c r="F47" s="186">
        <f t="shared" si="9"/>
        <v>1243035.0002828306</v>
      </c>
      <c r="G47" s="186">
        <f t="shared" si="9"/>
        <v>1624350.1250261264</v>
      </c>
      <c r="H47" s="186">
        <f t="shared" si="9"/>
        <v>2046623.8234061564</v>
      </c>
      <c r="I47" s="187">
        <f t="shared" si="9"/>
        <v>2500756.1016828874</v>
      </c>
      <c r="J47" s="262"/>
      <c r="Q47" s="90"/>
      <c r="R47" s="111"/>
      <c r="S47" s="154"/>
    </row>
    <row r="48" spans="1:19" ht="19.899999999999999" customHeight="1">
      <c r="A48" s="90"/>
      <c r="B48" s="91"/>
      <c r="C48" s="91"/>
      <c r="D48" s="91"/>
      <c r="E48" s="91"/>
      <c r="F48" s="91"/>
      <c r="G48" s="91"/>
      <c r="H48" s="91"/>
      <c r="I48" s="91"/>
      <c r="J48" s="92"/>
      <c r="Q48" s="90"/>
      <c r="R48" s="111"/>
      <c r="S48" s="154"/>
    </row>
    <row r="49" spans="1:19" ht="19.899999999999999" customHeight="1">
      <c r="A49" s="90"/>
      <c r="B49" s="91"/>
      <c r="C49" s="91"/>
      <c r="D49" s="91"/>
      <c r="E49" s="91"/>
      <c r="F49" s="91"/>
      <c r="G49" s="91"/>
      <c r="H49" s="91"/>
      <c r="I49" s="91"/>
      <c r="J49" s="92"/>
      <c r="Q49" s="90"/>
      <c r="R49" s="111"/>
      <c r="S49" s="154"/>
    </row>
    <row r="50" spans="1:19" ht="19.899999999999999" customHeight="1">
      <c r="A50" s="90"/>
      <c r="B50" s="91"/>
      <c r="C50" s="91"/>
      <c r="D50" s="91"/>
      <c r="E50" s="91"/>
      <c r="F50" s="91"/>
      <c r="G50" s="91"/>
      <c r="H50" s="91"/>
      <c r="I50" s="91"/>
      <c r="J50" s="92"/>
      <c r="Q50" s="90"/>
      <c r="R50" s="111"/>
      <c r="S50" s="154"/>
    </row>
    <row r="51" spans="1:19" ht="19.899999999999999" customHeight="1">
      <c r="A51" s="90"/>
      <c r="B51" s="91"/>
      <c r="C51" s="91"/>
      <c r="D51" s="91"/>
      <c r="E51" s="91"/>
      <c r="F51" s="91"/>
      <c r="G51" s="91"/>
      <c r="H51" s="91"/>
      <c r="I51" s="91"/>
      <c r="J51" s="92"/>
      <c r="Q51" s="90"/>
      <c r="R51" s="111"/>
      <c r="S51" s="154"/>
    </row>
    <row r="52" spans="1:19" ht="19.899999999999999" customHeight="1">
      <c r="A52" s="90"/>
      <c r="B52" s="91"/>
      <c r="C52" s="91"/>
      <c r="D52" s="91"/>
      <c r="E52" s="91"/>
      <c r="F52" s="91"/>
      <c r="G52" s="91"/>
      <c r="H52" s="91"/>
      <c r="I52" s="91"/>
      <c r="J52" s="92"/>
      <c r="Q52" s="90"/>
      <c r="R52" s="111"/>
      <c r="S52" s="154"/>
    </row>
    <row r="53" spans="1:19" ht="19.899999999999999" customHeight="1">
      <c r="A53" s="90"/>
      <c r="B53" s="91"/>
      <c r="C53" s="91"/>
      <c r="D53" s="91"/>
      <c r="E53" s="91"/>
      <c r="F53" s="91"/>
      <c r="G53" s="91"/>
      <c r="H53" s="91"/>
      <c r="I53" s="91"/>
      <c r="J53" s="92"/>
      <c r="Q53" s="265"/>
      <c r="R53" s="265"/>
    </row>
    <row r="54" spans="1:19" ht="19.899999999999999" customHeight="1">
      <c r="A54" s="90"/>
      <c r="B54" s="91"/>
      <c r="C54" s="91"/>
      <c r="D54" s="91"/>
      <c r="E54" s="91"/>
      <c r="F54" s="91"/>
      <c r="G54" s="91"/>
      <c r="H54" s="91"/>
      <c r="I54" s="91"/>
      <c r="J54" s="92"/>
      <c r="Q54" s="265"/>
      <c r="R54" s="265"/>
    </row>
    <row r="55" spans="1:19" ht="19.899999999999999" customHeight="1">
      <c r="A55" s="90"/>
      <c r="B55" s="91"/>
      <c r="C55" s="91"/>
      <c r="D55" s="91"/>
      <c r="E55" s="91"/>
      <c r="F55" s="91"/>
      <c r="G55" s="91"/>
      <c r="H55" s="91"/>
      <c r="I55" s="91"/>
      <c r="J55" s="92"/>
    </row>
    <row r="56" spans="1:19" ht="19.899999999999999" customHeight="1">
      <c r="A56" s="90"/>
      <c r="B56" s="91"/>
      <c r="C56" s="91"/>
      <c r="D56" s="91"/>
      <c r="E56" s="91"/>
      <c r="F56" s="91"/>
      <c r="G56" s="91"/>
      <c r="H56" s="91"/>
      <c r="I56" s="91"/>
      <c r="J56" s="92"/>
    </row>
    <row r="57" spans="1:19" ht="19.899999999999999" customHeight="1">
      <c r="A57" s="90"/>
      <c r="B57" s="91"/>
      <c r="C57" s="91"/>
      <c r="D57" s="91"/>
      <c r="E57" s="91"/>
      <c r="F57" s="91"/>
      <c r="G57" s="91"/>
      <c r="H57" s="91"/>
      <c r="I57" s="91"/>
      <c r="J57" s="92"/>
    </row>
    <row r="58" spans="1:19" ht="19.899999999999999" customHeight="1">
      <c r="A58" s="90"/>
      <c r="B58" s="91"/>
      <c r="C58" s="91"/>
      <c r="D58" s="91"/>
      <c r="E58" s="91"/>
      <c r="F58" s="91"/>
      <c r="G58" s="91"/>
      <c r="H58" s="91"/>
      <c r="I58" s="91"/>
      <c r="J58" s="92"/>
    </row>
    <row r="59" spans="1:19" ht="19.899999999999999" customHeight="1">
      <c r="A59" s="90"/>
      <c r="B59" s="91"/>
      <c r="C59" s="91"/>
      <c r="D59" s="91"/>
      <c r="E59" s="91"/>
      <c r="F59" s="91"/>
      <c r="G59" s="91"/>
      <c r="H59" s="91"/>
      <c r="I59" s="91"/>
      <c r="J59" s="92"/>
    </row>
    <row r="60" spans="1:19" ht="19.899999999999999" customHeight="1">
      <c r="A60" s="90"/>
      <c r="B60" s="91"/>
      <c r="C60" s="91"/>
      <c r="D60" s="91"/>
      <c r="E60" s="91"/>
      <c r="F60" s="91"/>
      <c r="G60" s="91"/>
      <c r="H60" s="91"/>
      <c r="I60" s="91"/>
      <c r="J60" s="92"/>
    </row>
    <row r="61" spans="1:19" ht="19.899999999999999" customHeight="1">
      <c r="A61" s="90"/>
      <c r="B61" s="91"/>
      <c r="C61" s="91"/>
      <c r="D61" s="91"/>
      <c r="E61" s="91"/>
      <c r="F61" s="91"/>
      <c r="G61" s="91"/>
      <c r="H61" s="91"/>
      <c r="I61" s="91"/>
      <c r="J61" s="92"/>
    </row>
    <row r="62" spans="1:19" ht="19.899999999999999" customHeight="1">
      <c r="A62" s="90"/>
      <c r="B62" s="91"/>
      <c r="C62" s="91"/>
      <c r="D62" s="91"/>
      <c r="E62" s="91"/>
      <c r="F62" s="91"/>
      <c r="G62" s="91"/>
      <c r="H62" s="91"/>
      <c r="I62" s="91"/>
      <c r="J62" s="92"/>
    </row>
    <row r="63" spans="1:19" ht="19.899999999999999" customHeight="1">
      <c r="A63" s="90"/>
      <c r="B63" s="91"/>
      <c r="C63" s="91"/>
      <c r="D63" s="91"/>
      <c r="E63" s="91"/>
      <c r="F63" s="91"/>
      <c r="G63" s="91"/>
      <c r="H63" s="91"/>
      <c r="I63" s="91"/>
      <c r="J63" s="92"/>
    </row>
    <row r="64" spans="1:19" ht="19.899999999999999" customHeight="1">
      <c r="A64" s="90"/>
      <c r="B64" s="91"/>
      <c r="C64" s="91"/>
      <c r="D64" s="91"/>
      <c r="E64" s="91"/>
      <c r="F64" s="91"/>
      <c r="G64" s="91"/>
      <c r="H64" s="91"/>
      <c r="I64" s="91"/>
      <c r="J64" s="92"/>
    </row>
    <row r="65" spans="1:22" ht="19.899999999999999" customHeight="1">
      <c r="A65" s="90"/>
      <c r="B65" s="91"/>
      <c r="C65" s="91"/>
      <c r="D65" s="91"/>
      <c r="E65" s="91"/>
      <c r="F65" s="91"/>
      <c r="G65" s="91"/>
      <c r="H65" s="91"/>
      <c r="I65" s="91"/>
      <c r="J65" s="92"/>
    </row>
    <row r="66" spans="1:22" ht="19.899999999999999" customHeight="1">
      <c r="A66" s="90"/>
      <c r="B66" s="91"/>
      <c r="C66" s="91"/>
      <c r="D66" s="91"/>
      <c r="E66" s="91"/>
      <c r="F66" s="91"/>
      <c r="G66" s="91"/>
      <c r="H66" s="91"/>
      <c r="I66" s="91"/>
      <c r="J66" s="92"/>
    </row>
    <row r="67" spans="1:22" ht="19.899999999999999" customHeight="1">
      <c r="A67" s="90"/>
      <c r="B67" s="91"/>
      <c r="C67" s="91"/>
      <c r="D67" s="91"/>
      <c r="E67" s="91"/>
      <c r="F67" s="91"/>
      <c r="G67" s="91"/>
      <c r="H67" s="91"/>
      <c r="I67" s="91"/>
      <c r="J67" s="92"/>
    </row>
    <row r="68" spans="1:22" ht="19.899999999999999" customHeight="1">
      <c r="A68" s="90"/>
      <c r="B68" s="91"/>
      <c r="C68" s="91"/>
      <c r="D68" s="91"/>
      <c r="E68" s="91"/>
      <c r="F68" s="91"/>
      <c r="G68" s="91"/>
      <c r="H68" s="91"/>
      <c r="I68" s="91"/>
      <c r="J68" s="92"/>
    </row>
    <row r="69" spans="1:22" ht="19.899999999999999" customHeight="1">
      <c r="A69" s="90"/>
      <c r="B69" s="91"/>
      <c r="C69" s="91"/>
      <c r="D69" s="91"/>
      <c r="E69" s="91"/>
      <c r="F69" s="91"/>
      <c r="G69" s="91"/>
      <c r="H69" s="91"/>
      <c r="I69" s="91"/>
      <c r="J69" s="92"/>
    </row>
    <row r="70" spans="1:22" ht="19.899999999999999" customHeight="1">
      <c r="A70" s="90"/>
      <c r="B70" s="91"/>
      <c r="C70" s="91"/>
      <c r="D70" s="91"/>
      <c r="E70" s="91"/>
      <c r="F70" s="91"/>
      <c r="G70" s="91"/>
      <c r="H70" s="91"/>
      <c r="I70" s="91"/>
      <c r="J70" s="92"/>
    </row>
    <row r="71" spans="1:22" ht="19.899999999999999" customHeight="1">
      <c r="A71" s="90"/>
      <c r="B71" s="91"/>
      <c r="C71" s="91"/>
      <c r="D71" s="91"/>
      <c r="E71" s="91"/>
      <c r="F71" s="91"/>
      <c r="G71" s="91"/>
      <c r="H71" s="91"/>
      <c r="I71" s="91"/>
      <c r="J71" s="92"/>
    </row>
    <row r="72" spans="1:22" ht="19.899999999999999" customHeight="1">
      <c r="A72" s="90"/>
      <c r="B72" s="91"/>
      <c r="C72" s="91"/>
      <c r="D72" s="91"/>
      <c r="E72" s="91"/>
      <c r="F72" s="91"/>
      <c r="G72" s="91"/>
      <c r="H72" s="91"/>
      <c r="I72" s="91"/>
      <c r="J72" s="92"/>
    </row>
    <row r="73" spans="1:22" ht="19.899999999999999" customHeight="1">
      <c r="A73" s="90"/>
      <c r="B73" s="91"/>
      <c r="C73" s="91"/>
      <c r="D73" s="91"/>
      <c r="E73" s="91"/>
      <c r="F73" s="91"/>
      <c r="G73" s="91"/>
      <c r="H73" s="91"/>
      <c r="I73" s="91"/>
      <c r="J73" s="92"/>
    </row>
    <row r="74" spans="1:22" ht="19.899999999999999" customHeight="1">
      <c r="A74" s="90"/>
      <c r="B74" s="91"/>
      <c r="C74" s="91"/>
      <c r="D74" s="91"/>
      <c r="E74" s="91"/>
      <c r="F74" s="91"/>
      <c r="G74" s="91"/>
      <c r="H74" s="91"/>
      <c r="I74" s="91"/>
      <c r="J74" s="92"/>
    </row>
    <row r="75" spans="1:22" ht="19.899999999999999" customHeight="1" thickBot="1">
      <c r="A75" s="72" t="s">
        <v>58</v>
      </c>
    </row>
    <row r="76" spans="1:22" ht="19.899999999999999" customHeight="1" thickBot="1">
      <c r="A76" s="64" t="s">
        <v>40</v>
      </c>
      <c r="B76" s="65"/>
      <c r="C76" s="65"/>
      <c r="D76" s="65"/>
      <c r="E76" s="65"/>
      <c r="F76" s="65"/>
      <c r="G76" s="65"/>
      <c r="H76" s="65"/>
      <c r="I76" s="65"/>
      <c r="J76" s="66"/>
    </row>
    <row r="77" spans="1:22" ht="19.899999999999999" customHeight="1">
      <c r="A77" s="477" t="s">
        <v>300</v>
      </c>
      <c r="B77" s="483" t="s">
        <v>207</v>
      </c>
      <c r="C77" s="487" t="s">
        <v>292</v>
      </c>
      <c r="D77" s="487" t="s">
        <v>293</v>
      </c>
      <c r="E77" s="487" t="s">
        <v>294</v>
      </c>
      <c r="F77" s="487" t="s">
        <v>295</v>
      </c>
      <c r="G77" s="487" t="s">
        <v>296</v>
      </c>
      <c r="H77" s="487" t="s">
        <v>297</v>
      </c>
      <c r="I77" s="487" t="s">
        <v>298</v>
      </c>
      <c r="J77" s="488" t="s">
        <v>299</v>
      </c>
      <c r="K77" s="489" t="s">
        <v>54</v>
      </c>
    </row>
    <row r="78" spans="1:22" ht="19.899999999999999" customHeight="1">
      <c r="A78" s="490" t="str">
        <f>'Compliance Calculator 1'!A$153</f>
        <v>Annual BEVs</v>
      </c>
      <c r="B78" s="491">
        <f>('Compliance Calculator 1'!$C$64+'Compliance Calculator 1'!$F$64)/3.29</f>
        <v>104472.76367289864</v>
      </c>
      <c r="C78" s="492">
        <f>'Compliance Calculator 1'!B$153</f>
        <v>7712.0803673287091</v>
      </c>
      <c r="D78" s="492">
        <f>'Compliance Calculator 1'!C$153</f>
        <v>14347.848725177952</v>
      </c>
      <c r="E78" s="492">
        <f>'Compliance Calculator 1'!D$153</f>
        <v>20991.887891484836</v>
      </c>
      <c r="F78" s="492">
        <f>'Compliance Calculator 1'!E$153</f>
        <v>26906.116039735112</v>
      </c>
      <c r="G78" s="492">
        <f>'Compliance Calculator 1'!F$153</f>
        <v>29179.11476206037</v>
      </c>
      <c r="H78" s="492">
        <f>'Compliance Calculator 1'!G$153</f>
        <v>33344.414677778361</v>
      </c>
      <c r="I78" s="492">
        <f>'Compliance Calculator 1'!H$153</f>
        <v>37082.920836523961</v>
      </c>
      <c r="J78" s="493">
        <f>'Compliance Calculator 1'!I$153</f>
        <v>40635.904453897783</v>
      </c>
      <c r="K78" s="494">
        <f>SUM(C78:J78)</f>
        <v>210200.2877539871</v>
      </c>
    </row>
    <row r="79" spans="1:22" ht="19.899999999999999" customHeight="1">
      <c r="A79" s="495" t="str">
        <f>'Compliance Calculator 1'!A$154</f>
        <v>Annual FCEVs</v>
      </c>
      <c r="B79" s="496"/>
      <c r="C79" s="497">
        <f>'Compliance Calculator 1'!B$154</f>
        <v>2031.4254178942599</v>
      </c>
      <c r="D79" s="497">
        <f>'Compliance Calculator 1'!C$154</f>
        <v>4153.6076138830413</v>
      </c>
      <c r="E79" s="497">
        <f>'Compliance Calculator 1'!D$154</f>
        <v>6287.6203834533981</v>
      </c>
      <c r="F79" s="497">
        <f>'Compliance Calculator 1'!E$154</f>
        <v>8483.2473723295934</v>
      </c>
      <c r="G79" s="497">
        <f>'Compliance Calculator 1'!F$154</f>
        <v>14126.712454923143</v>
      </c>
      <c r="H79" s="497">
        <f>'Compliance Calculator 1'!G$154</f>
        <v>16903.909005546564</v>
      </c>
      <c r="I79" s="497">
        <f>'Compliance Calculator 1'!H$154</f>
        <v>19663.490948551633</v>
      </c>
      <c r="J79" s="498">
        <f>'Compliance Calculator 1'!I$154</f>
        <v>22525.167428864272</v>
      </c>
      <c r="K79" s="499">
        <f>SUM(C79:J79)</f>
        <v>94175.180625445893</v>
      </c>
    </row>
    <row r="80" spans="1:22" ht="19.899999999999999" customHeight="1">
      <c r="A80" s="500" t="str">
        <f>'Compliance Calculator 1'!A$155</f>
        <v>Annual PHEVs</v>
      </c>
      <c r="B80" s="491">
        <f>'Compliance Calculator 1'!$C$65/1.98</f>
        <v>49686.588392001795</v>
      </c>
      <c r="C80" s="501">
        <f>'Compliance Calculator 1'!B155</f>
        <v>35056.97532009265</v>
      </c>
      <c r="D80" s="501">
        <f>'Compliance Calculator 1'!C$155</f>
        <v>41962.929174672114</v>
      </c>
      <c r="E80" s="501">
        <f>'Compliance Calculator 1'!D$155</f>
        <v>55472.455040325505</v>
      </c>
      <c r="F80" s="501">
        <f>'Compliance Calculator 1'!E$155</f>
        <v>63389.51861369783</v>
      </c>
      <c r="G80" s="501">
        <f>'Compliance Calculator 1'!F$155</f>
        <v>66446.363161562156</v>
      </c>
      <c r="H80" s="501">
        <f>'Compliance Calculator 1'!G$155</f>
        <v>72190.096393702683</v>
      </c>
      <c r="I80" s="501">
        <f>'Compliance Calculator 1'!H$155</f>
        <v>77484.279697898804</v>
      </c>
      <c r="J80" s="527">
        <f>'Compliance Calculator 1'!I$155</f>
        <v>82862.701835662709</v>
      </c>
      <c r="K80" s="502">
        <f>SUM(C80:J80)</f>
        <v>494865.3192376144</v>
      </c>
      <c r="O80" s="178"/>
      <c r="P80" s="178"/>
      <c r="Q80" s="178"/>
      <c r="R80" s="178"/>
      <c r="S80" s="178"/>
      <c r="T80" s="178"/>
      <c r="U80" s="178"/>
      <c r="V80" s="178"/>
    </row>
    <row r="81" spans="1:15" ht="19.899999999999999" customHeight="1">
      <c r="A81" s="528" t="s">
        <v>59</v>
      </c>
      <c r="B81" s="503"/>
      <c r="C81" s="505">
        <f>C78</f>
        <v>7712.0803673287091</v>
      </c>
      <c r="D81" s="505">
        <f>SUM($C78:D78)</f>
        <v>22059.92909250666</v>
      </c>
      <c r="E81" s="505">
        <f>SUM($C78:E78)</f>
        <v>43051.816983991492</v>
      </c>
      <c r="F81" s="505">
        <f>SUM($C78:F78)</f>
        <v>69957.933023726597</v>
      </c>
      <c r="G81" s="505">
        <f>SUM($C78:G78)</f>
        <v>99137.04778578697</v>
      </c>
      <c r="H81" s="505">
        <f>SUM($C78:H78)</f>
        <v>132481.46246356535</v>
      </c>
      <c r="I81" s="505">
        <f>SUM($C78:I78)</f>
        <v>169564.38330008931</v>
      </c>
      <c r="J81" s="506">
        <f>SUM($C78:J78)</f>
        <v>210200.2877539871</v>
      </c>
      <c r="K81" s="507"/>
    </row>
    <row r="82" spans="1:15" ht="19.899999999999999" customHeight="1">
      <c r="A82" s="529" t="s">
        <v>129</v>
      </c>
      <c r="B82" s="508"/>
      <c r="C82" s="510">
        <f>C79</f>
        <v>2031.4254178942599</v>
      </c>
      <c r="D82" s="510">
        <f>SUM($C79:D79)</f>
        <v>6185.0330317773014</v>
      </c>
      <c r="E82" s="510">
        <f>SUM($C79:E79)</f>
        <v>12472.653415230699</v>
      </c>
      <c r="F82" s="510">
        <f>SUM($C79:F79)</f>
        <v>20955.900787560291</v>
      </c>
      <c r="G82" s="510">
        <f>SUM($C79:G79)</f>
        <v>35082.613242483436</v>
      </c>
      <c r="H82" s="510">
        <f>SUM($C79:H79)</f>
        <v>51986.52224803</v>
      </c>
      <c r="I82" s="510">
        <f>SUM($C79:I79)</f>
        <v>71650.013196581625</v>
      </c>
      <c r="J82" s="511">
        <f>SUM($C79:J79)</f>
        <v>94175.180625445893</v>
      </c>
      <c r="K82" s="507"/>
    </row>
    <row r="83" spans="1:15" ht="19.899999999999999" customHeight="1">
      <c r="A83" s="530" t="s">
        <v>60</v>
      </c>
      <c r="B83" s="512"/>
      <c r="C83" s="514">
        <f>C80</f>
        <v>35056.97532009265</v>
      </c>
      <c r="D83" s="514">
        <f>SUM($C80:D80)</f>
        <v>77019.904494764764</v>
      </c>
      <c r="E83" s="514">
        <f>SUM($C80:E80)</f>
        <v>132492.35953509028</v>
      </c>
      <c r="F83" s="514">
        <f>SUM($C80:F80)</f>
        <v>195881.87814878812</v>
      </c>
      <c r="G83" s="514">
        <f>SUM($C80:G80)</f>
        <v>262328.24131035025</v>
      </c>
      <c r="H83" s="514">
        <f>SUM($C80:H80)</f>
        <v>334518.33770405292</v>
      </c>
      <c r="I83" s="514">
        <f>SUM($C80:I80)</f>
        <v>412002.61740195169</v>
      </c>
      <c r="J83" s="515">
        <f>SUM($C80:J80)</f>
        <v>494865.3192376144</v>
      </c>
      <c r="K83" s="507"/>
    </row>
    <row r="84" spans="1:15" ht="19.899999999999999" customHeight="1" thickBot="1">
      <c r="A84" s="531" t="s">
        <v>203</v>
      </c>
      <c r="B84" s="491">
        <f>SUM(B78:B80)</f>
        <v>154159.35206490045</v>
      </c>
      <c r="C84" s="518">
        <f>SUM(B78:C80)</f>
        <v>198959.83317021606</v>
      </c>
      <c r="D84" s="518">
        <f>SUM($B78:D80)</f>
        <v>259424.21868394915</v>
      </c>
      <c r="E84" s="518">
        <f>SUM($B78:E80)</f>
        <v>342176.18199921295</v>
      </c>
      <c r="F84" s="518">
        <f>SUM($B78:F80)</f>
        <v>440955.06402497547</v>
      </c>
      <c r="G84" s="518">
        <f>SUM($B78:G80)</f>
        <v>550707.25440352119</v>
      </c>
      <c r="H84" s="518">
        <f>SUM($B78:H80)</f>
        <v>673145.67448054871</v>
      </c>
      <c r="I84" s="518">
        <f>SUM($B78:I80)</f>
        <v>807376.36596352293</v>
      </c>
      <c r="J84" s="532">
        <f>SUM($B78:J80)</f>
        <v>953400.13968194777</v>
      </c>
      <c r="K84" s="507"/>
    </row>
    <row r="85" spans="1:15" ht="19.899999999999999" customHeight="1" thickBot="1">
      <c r="A85" s="521"/>
      <c r="B85" s="522"/>
      <c r="C85" s="522"/>
      <c r="D85" s="523" t="s">
        <v>55</v>
      </c>
      <c r="E85" s="522"/>
      <c r="F85" s="522"/>
      <c r="G85" s="522"/>
      <c r="H85" s="522"/>
      <c r="I85" s="522"/>
      <c r="J85" s="524"/>
      <c r="K85" s="575"/>
    </row>
    <row r="86" spans="1:15" ht="19.899999999999999" customHeight="1">
      <c r="A86" s="482" t="s">
        <v>300</v>
      </c>
      <c r="B86" s="478" t="s">
        <v>201</v>
      </c>
      <c r="C86" s="525" t="s">
        <v>292</v>
      </c>
      <c r="D86" s="525" t="s">
        <v>293</v>
      </c>
      <c r="E86" s="525" t="s">
        <v>294</v>
      </c>
      <c r="F86" s="525" t="s">
        <v>295</v>
      </c>
      <c r="G86" s="525" t="s">
        <v>296</v>
      </c>
      <c r="H86" s="525" t="s">
        <v>297</v>
      </c>
      <c r="I86" s="525" t="s">
        <v>298</v>
      </c>
      <c r="J86" s="573" t="s">
        <v>299</v>
      </c>
      <c r="K86" s="574" t="s">
        <v>54</v>
      </c>
      <c r="O86" s="178"/>
    </row>
    <row r="87" spans="1:15" ht="19.899999999999999" customHeight="1">
      <c r="A87" s="82" t="str">
        <f>'Compliance Calculator 1'!A168</f>
        <v>Annual BEVs</v>
      </c>
      <c r="B87" s="150">
        <f>IF(((B78*3.29)*1.6)&lt;'Compliance Calculator 1'!C74, ('Compliance Calculator 1'!C74-('Compliance Calculator 1'!C64*1.6))/3.29, 0)</f>
        <v>0</v>
      </c>
      <c r="C87" s="83">
        <f>'Compliance Calculator 1'!B$153+'Compliance Calculator 1'!B$168</f>
        <v>14232.833512989306</v>
      </c>
      <c r="D87" s="83">
        <f>'Compliance Calculator 1'!C$153+'Compliance Calculator 1'!C$168</f>
        <v>28796.408798477038</v>
      </c>
      <c r="E87" s="83">
        <f>'Compliance Calculator 1'!D$153+'Compliance Calculator 1'!D$168</f>
        <v>47245.211067057258</v>
      </c>
      <c r="F87" s="83">
        <f>'Compliance Calculator 1'!E$153+'Compliance Calculator 1'!E$168</f>
        <v>65648.491552503823</v>
      </c>
      <c r="G87" s="83">
        <f>'Compliance Calculator 1'!F$153+'Compliance Calculator 1'!F$168</f>
        <v>71476.270270976631</v>
      </c>
      <c r="H87" s="83">
        <f>'Compliance Calculator 1'!G$153+'Compliance Calculator 1'!G$168</f>
        <v>81581.478184350766</v>
      </c>
      <c r="I87" s="83">
        <f>'Compliance Calculator 1'!H$153+'Compliance Calculator 1'!H$168</f>
        <v>90649.723491648183</v>
      </c>
      <c r="J87" s="84">
        <f>'Compliance Calculator 1'!I$153+'Compliance Calculator 1'!I$168</f>
        <v>99270.123851991317</v>
      </c>
      <c r="K87" s="259">
        <f>SUM(C87:J87)</f>
        <v>498900.54072999436</v>
      </c>
      <c r="O87" s="178"/>
    </row>
    <row r="88" spans="1:15" ht="19.899999999999999" customHeight="1">
      <c r="A88" s="82" t="str">
        <f>'Compliance Calculator 1'!A169</f>
        <v>Annual PHEVs</v>
      </c>
      <c r="B88" s="150">
        <f>'Compliance Calculator 1'!C75/1.98</f>
        <v>0</v>
      </c>
      <c r="C88" s="94">
        <f>'Compliance Calculator 1'!B$155+'Compliance Calculator 1'!B$169</f>
        <v>89924.884905703861</v>
      </c>
      <c r="D88" s="94">
        <f>'Compliance Calculator 1'!C$155+'Compliance Calculator 1'!C$169</f>
        <v>114576.77881741902</v>
      </c>
      <c r="E88" s="94">
        <f>'Compliance Calculator 1'!D$155+'Compliance Calculator 1'!D$169</f>
        <v>147846.15983392156</v>
      </c>
      <c r="F88" s="94">
        <f>'Compliance Calculator 1'!E$155+'Compliance Calculator 1'!E$169</f>
        <v>168693.22232263035</v>
      </c>
      <c r="G88" s="94">
        <f>'Compliance Calculator 1'!F$155+'Compliance Calculator 1'!F$169</f>
        <v>175937.46619612863</v>
      </c>
      <c r="H88" s="94">
        <f>'Compliance Calculator 1'!G$155+'Compliance Calculator 1'!G$169</f>
        <v>191190.13488988311</v>
      </c>
      <c r="I88" s="94">
        <f>'Compliance Calculator 1'!H$155+'Compliance Calculator 1'!H$169</f>
        <v>205249.89479542032</v>
      </c>
      <c r="J88" s="95">
        <f>'Compliance Calculator 1'!I$155+'Compliance Calculator 1'!I$169</f>
        <v>219530.32082274818</v>
      </c>
      <c r="K88" s="261">
        <f>SUM(C88:J88)</f>
        <v>1312948.8625838549</v>
      </c>
      <c r="O88" s="178"/>
    </row>
    <row r="89" spans="1:15" ht="19.899999999999999" customHeight="1">
      <c r="A89" s="82" t="s">
        <v>59</v>
      </c>
      <c r="B89" s="191"/>
      <c r="C89" s="83">
        <f>C87</f>
        <v>14232.833512989306</v>
      </c>
      <c r="D89" s="83">
        <f>SUM($C87:D87)</f>
        <v>43029.24231146634</v>
      </c>
      <c r="E89" s="83">
        <f>SUM($C87:E87)</f>
        <v>90274.453378523598</v>
      </c>
      <c r="F89" s="83">
        <f>SUM($C87:F87)</f>
        <v>155922.94493102742</v>
      </c>
      <c r="G89" s="83">
        <f>SUM($C87:G87)</f>
        <v>227399.21520200407</v>
      </c>
      <c r="H89" s="83">
        <f>SUM($C87:H87)</f>
        <v>308980.69338635483</v>
      </c>
      <c r="I89" s="83">
        <f>SUM($C87:I87)</f>
        <v>399630.41687800304</v>
      </c>
      <c r="J89" s="84">
        <f>SUM($C87:J87)</f>
        <v>498900.54072999436</v>
      </c>
      <c r="K89" s="262"/>
    </row>
    <row r="90" spans="1:15" ht="19.899999999999999" customHeight="1">
      <c r="A90" s="93" t="s">
        <v>60</v>
      </c>
      <c r="B90" s="192"/>
      <c r="C90" s="94">
        <f>C88</f>
        <v>89924.884905703861</v>
      </c>
      <c r="D90" s="94">
        <f>SUM($C88:D88)</f>
        <v>204501.66372312288</v>
      </c>
      <c r="E90" s="94">
        <f>SUM($C88:E88)</f>
        <v>352347.82355704444</v>
      </c>
      <c r="F90" s="94">
        <f>SUM($C88:F88)</f>
        <v>521041.04587967478</v>
      </c>
      <c r="G90" s="94">
        <f>SUM($C88:G88)</f>
        <v>696978.51207580348</v>
      </c>
      <c r="H90" s="94">
        <f>SUM($C88:H88)</f>
        <v>888168.64696568658</v>
      </c>
      <c r="I90" s="94">
        <f>SUM($C88:I88)</f>
        <v>1093418.5417611068</v>
      </c>
      <c r="J90" s="94">
        <f>SUM($C88:J88)</f>
        <v>1312948.8625838549</v>
      </c>
      <c r="K90" s="262"/>
    </row>
    <row r="91" spans="1:15" ht="19.899999999999999" customHeight="1">
      <c r="A91" s="82" t="s">
        <v>202</v>
      </c>
      <c r="B91" s="189">
        <f>B84+(SUM(B87:B88))</f>
        <v>154159.35206490045</v>
      </c>
      <c r="C91" s="83">
        <f>SUM(C87:C88)+B84+C82+SUM(B87:B88)</f>
        <v>260348.49590148788</v>
      </c>
      <c r="D91" s="83">
        <f>SUM($B87:D88)+B84+D82</f>
        <v>407875.29113126697</v>
      </c>
      <c r="E91" s="83">
        <f>SUM($B87:E88)+B84+E82</f>
        <v>609254.28241569921</v>
      </c>
      <c r="F91" s="83">
        <f>SUM($B87:F88)+B84+F82</f>
        <v>852079.24366316292</v>
      </c>
      <c r="G91" s="83">
        <f>SUM($B87:G88)+B84+G82</f>
        <v>1113619.6925851915</v>
      </c>
      <c r="H91" s="83">
        <f>SUM($B87:H88)+B84+H82</f>
        <v>1403295.2146649717</v>
      </c>
      <c r="I91" s="83">
        <f>SUM($B87:I88)+B84+I82</f>
        <v>1718858.3239005916</v>
      </c>
      <c r="J91" s="190">
        <f>SUM($B87:J88)+B84+J82</f>
        <v>2060183.9360041956</v>
      </c>
      <c r="K91" s="262"/>
    </row>
    <row r="92" spans="1:15" ht="19.899999999999999" customHeight="1">
      <c r="A92" s="264" t="s">
        <v>235</v>
      </c>
      <c r="B92" s="274">
        <f>B91-B84</f>
        <v>0</v>
      </c>
      <c r="C92" s="186">
        <f>C91-C84</f>
        <v>61388.662731271819</v>
      </c>
      <c r="D92" s="186">
        <f t="shared" ref="D92:J92" si="10">D91-D84</f>
        <v>148451.07244731783</v>
      </c>
      <c r="E92" s="186">
        <f t="shared" si="10"/>
        <v>267078.10041648627</v>
      </c>
      <c r="F92" s="186">
        <f t="shared" si="10"/>
        <v>411124.17963818746</v>
      </c>
      <c r="G92" s="186">
        <f t="shared" si="10"/>
        <v>562912.43818167027</v>
      </c>
      <c r="H92" s="186">
        <f t="shared" si="10"/>
        <v>730149.54018442298</v>
      </c>
      <c r="I92" s="186">
        <f t="shared" si="10"/>
        <v>911481.95793706866</v>
      </c>
      <c r="J92" s="275">
        <f t="shared" si="10"/>
        <v>1106783.7963222479</v>
      </c>
      <c r="K92" s="276"/>
    </row>
    <row r="93" spans="1:15" ht="19.899999999999999" customHeight="1">
      <c r="A93" s="90"/>
      <c r="B93" s="91"/>
      <c r="C93" s="91"/>
      <c r="D93" s="91"/>
      <c r="E93" s="91"/>
      <c r="F93" s="91"/>
      <c r="G93" s="91"/>
      <c r="H93" s="91"/>
      <c r="I93" s="91"/>
      <c r="J93" s="92"/>
    </row>
    <row r="94" spans="1:15" ht="19.899999999999999" customHeight="1">
      <c r="A94" s="90"/>
      <c r="B94" s="91"/>
      <c r="C94" s="91"/>
      <c r="D94" s="91"/>
      <c r="E94" s="91"/>
      <c r="F94" s="91"/>
      <c r="G94" s="91"/>
      <c r="H94" s="91"/>
      <c r="I94" s="91"/>
      <c r="J94" s="92"/>
    </row>
    <row r="95" spans="1:15" ht="19.899999999999999" customHeight="1">
      <c r="A95" s="90"/>
      <c r="B95" s="91"/>
      <c r="C95" s="91"/>
      <c r="D95" s="91"/>
      <c r="E95" s="91"/>
      <c r="F95" s="91"/>
      <c r="G95" s="91"/>
      <c r="H95" s="91"/>
      <c r="I95" s="91"/>
      <c r="J95" s="92"/>
    </row>
    <row r="120" spans="1:22" ht="19.899999999999999" customHeight="1" thickBot="1">
      <c r="A120" s="72" t="s">
        <v>57</v>
      </c>
    </row>
    <row r="121" spans="1:22" ht="19.899999999999999" customHeight="1" thickBot="1">
      <c r="A121" s="471"/>
      <c r="B121" s="472"/>
      <c r="C121" s="472"/>
      <c r="D121" s="475" t="s">
        <v>40</v>
      </c>
      <c r="E121" s="472"/>
      <c r="F121" s="472"/>
      <c r="G121" s="472"/>
      <c r="H121" s="472"/>
      <c r="I121" s="472"/>
      <c r="J121" s="473"/>
      <c r="K121" s="153"/>
      <c r="L121" s="154"/>
    </row>
    <row r="122" spans="1:22" ht="19.899999999999999" customHeight="1">
      <c r="A122" s="477" t="s">
        <v>300</v>
      </c>
      <c r="B122" s="478" t="s">
        <v>207</v>
      </c>
      <c r="C122" s="479" t="s">
        <v>292</v>
      </c>
      <c r="D122" s="479" t="s">
        <v>293</v>
      </c>
      <c r="E122" s="479" t="s">
        <v>294</v>
      </c>
      <c r="F122" s="479" t="s">
        <v>295</v>
      </c>
      <c r="G122" s="479" t="s">
        <v>296</v>
      </c>
      <c r="H122" s="479" t="s">
        <v>297</v>
      </c>
      <c r="I122" s="479" t="s">
        <v>298</v>
      </c>
      <c r="J122" s="480" t="s">
        <v>299</v>
      </c>
      <c r="K122" s="481" t="s">
        <v>54</v>
      </c>
    </row>
    <row r="123" spans="1:22" ht="19.899999999999999" customHeight="1">
      <c r="A123" s="254" t="str">
        <f>'Compliance Calculator 2'!A$153</f>
        <v>Annual BEVs</v>
      </c>
      <c r="B123" s="235">
        <f>('Compliance Calculator 2'!$C$64+'Compliance Calculator 2'!$F$64)/3.29</f>
        <v>152981.06268751316</v>
      </c>
      <c r="C123" s="74">
        <f>'Compliance Calculator 2'!B$153</f>
        <v>4913.6987606108751</v>
      </c>
      <c r="D123" s="74">
        <f>'Compliance Calculator 2'!C$153</f>
        <v>9655.4853075776591</v>
      </c>
      <c r="E123" s="74">
        <f>'Compliance Calculator 2'!D$153</f>
        <v>14416.104803317234</v>
      </c>
      <c r="F123" s="74">
        <f>'Compliance Calculator 2'!E$153</f>
        <v>19058.60328500675</v>
      </c>
      <c r="G123" s="74">
        <f>'Compliance Calculator 2'!F$153</f>
        <v>21213.230461150433</v>
      </c>
      <c r="H123" s="74">
        <f>'Compliance Calculator 2'!G$153</f>
        <v>24359.123987330335</v>
      </c>
      <c r="I123" s="74">
        <f>'Compliance Calculator 2'!H$153</f>
        <v>27184.528237485971</v>
      </c>
      <c r="J123" s="75">
        <f>'Compliance Calculator 2'!I$153</f>
        <v>29867.12171475343</v>
      </c>
      <c r="K123" s="277">
        <f>SUM(C123:J123)</f>
        <v>150667.89655723269</v>
      </c>
    </row>
    <row r="124" spans="1:22" ht="19.899999999999999" customHeight="1">
      <c r="A124" s="255" t="str">
        <f>'Compliance Calculator 2'!A$154</f>
        <v>Annual FCEVs</v>
      </c>
      <c r="B124" s="236"/>
      <c r="C124" s="77">
        <f>'Compliance Calculator 2'!B$154</f>
        <v>1748.1428282942536</v>
      </c>
      <c r="D124" s="77">
        <f>'Compliance Calculator 2'!C$154</f>
        <v>3574.3863879013456</v>
      </c>
      <c r="E124" s="77">
        <f>'Compliance Calculator 2'!D$154</f>
        <v>5528.5249787219345</v>
      </c>
      <c r="F124" s="77">
        <f>'Compliance Calculator 2'!E$154</f>
        <v>7613.5889332505058</v>
      </c>
      <c r="G124" s="77">
        <f>'Compliance Calculator 2'!F$154</f>
        <v>13410.178672765185</v>
      </c>
      <c r="H124" s="77">
        <f>'Compliance Calculator 2'!G$154</f>
        <v>16046.510520821466</v>
      </c>
      <c r="I124" s="77">
        <f>'Compliance Calculator 2'!H$154</f>
        <v>18666.121207732402</v>
      </c>
      <c r="J124" s="78">
        <f>'Compliance Calculator 2'!I$154</f>
        <v>21382.648002419755</v>
      </c>
      <c r="K124" s="278">
        <f>SUM(C124:J124)</f>
        <v>87970.101531906854</v>
      </c>
    </row>
    <row r="125" spans="1:22" ht="19.899999999999999" customHeight="1">
      <c r="A125" s="256" t="str">
        <f>'Compliance Calculator 2'!A$155</f>
        <v>Annual PHEVs</v>
      </c>
      <c r="B125" s="235">
        <f>'Compliance Calculator 2'!$C$65/1.98</f>
        <v>77368.546721253413</v>
      </c>
      <c r="C125" s="80">
        <f>'Compliance Calculator 2'!B155</f>
        <v>25959.853255730224</v>
      </c>
      <c r="D125" s="80">
        <f>'Compliance Calculator 2'!C155</f>
        <v>31073.744200936097</v>
      </c>
      <c r="E125" s="80">
        <f>'Compliance Calculator 2'!D155</f>
        <v>43023.056102642673</v>
      </c>
      <c r="F125" s="80">
        <f>'Compliance Calculator 2'!E155</f>
        <v>50492.048793615548</v>
      </c>
      <c r="G125" s="80">
        <f>'Compliance Calculator 2'!F155</f>
        <v>57700.050607162979</v>
      </c>
      <c r="H125" s="80">
        <f>'Compliance Calculator 2'!G155</f>
        <v>62740.754704065555</v>
      </c>
      <c r="I125" s="80">
        <f>'Compliance Calculator 2'!H155</f>
        <v>67388.907840238404</v>
      </c>
      <c r="J125" s="81">
        <f>'Compliance Calculator 2'!I155</f>
        <v>72102.427912102779</v>
      </c>
      <c r="K125" s="279">
        <f>SUM(C125:J125)</f>
        <v>410480.84341649426</v>
      </c>
      <c r="O125" s="178"/>
      <c r="P125" s="178"/>
      <c r="Q125" s="178"/>
      <c r="R125" s="178"/>
      <c r="S125" s="178"/>
      <c r="T125" s="178"/>
      <c r="U125" s="178"/>
      <c r="V125" s="178"/>
    </row>
    <row r="126" spans="1:22" ht="19.899999999999999" customHeight="1">
      <c r="A126" s="188" t="s">
        <v>59</v>
      </c>
      <c r="B126" s="144"/>
      <c r="C126" s="83">
        <f>C123</f>
        <v>4913.6987606108751</v>
      </c>
      <c r="D126" s="83">
        <f>SUM($C123:D123)</f>
        <v>14569.184068188533</v>
      </c>
      <c r="E126" s="83">
        <f>SUM($C123:E123)</f>
        <v>28985.288871505767</v>
      </c>
      <c r="F126" s="83">
        <f>SUM($C123:F123)</f>
        <v>48043.89215651252</v>
      </c>
      <c r="G126" s="83">
        <f>SUM($C123:G123)</f>
        <v>69257.122617662957</v>
      </c>
      <c r="H126" s="83">
        <f>SUM($C123:H123)</f>
        <v>93616.246604993299</v>
      </c>
      <c r="I126" s="83">
        <f>SUM($C123:I123)</f>
        <v>120800.77484247927</v>
      </c>
      <c r="J126" s="84">
        <f>SUM($C123:J123)</f>
        <v>150667.89655723269</v>
      </c>
      <c r="K126" s="92"/>
    </row>
    <row r="127" spans="1:22" ht="19.899999999999999" customHeight="1">
      <c r="A127" s="257" t="s">
        <v>129</v>
      </c>
      <c r="B127" s="145"/>
      <c r="C127" s="86">
        <f>C124</f>
        <v>1748.1428282942536</v>
      </c>
      <c r="D127" s="86">
        <f>SUM($C124:D124)</f>
        <v>5322.5292161955995</v>
      </c>
      <c r="E127" s="86">
        <f>SUM($C124:E124)</f>
        <v>10851.054194917535</v>
      </c>
      <c r="F127" s="86">
        <f>SUM($C124:F124)</f>
        <v>18464.643128168042</v>
      </c>
      <c r="G127" s="86">
        <f>SUM($C124:G124)</f>
        <v>31874.821800933227</v>
      </c>
      <c r="H127" s="86">
        <f>SUM($C124:H124)</f>
        <v>47921.332321754693</v>
      </c>
      <c r="I127" s="86">
        <f>SUM($C124:I124)</f>
        <v>66587.453529487102</v>
      </c>
      <c r="J127" s="87">
        <f>SUM($C124:J124)</f>
        <v>87970.101531906854</v>
      </c>
      <c r="K127" s="92"/>
    </row>
    <row r="128" spans="1:22" ht="19.899999999999999" customHeight="1">
      <c r="A128" s="258" t="s">
        <v>60</v>
      </c>
      <c r="B128" s="146"/>
      <c r="C128" s="88">
        <f>C125</f>
        <v>25959.853255730224</v>
      </c>
      <c r="D128" s="88">
        <f>SUM($C125:D125)</f>
        <v>57033.597456666321</v>
      </c>
      <c r="E128" s="88">
        <f>SUM($C125:E125)</f>
        <v>100056.65355930899</v>
      </c>
      <c r="F128" s="88">
        <f>SUM($C125:F125)</f>
        <v>150548.70235292453</v>
      </c>
      <c r="G128" s="88">
        <f>SUM($C125:G125)</f>
        <v>208248.7529600875</v>
      </c>
      <c r="H128" s="88">
        <f>SUM($C125:H125)</f>
        <v>270989.50766415306</v>
      </c>
      <c r="I128" s="88">
        <f>SUM($C125:I125)</f>
        <v>338378.41550439148</v>
      </c>
      <c r="J128" s="89">
        <f>SUM($C125:J125)</f>
        <v>410480.84341649426</v>
      </c>
      <c r="K128" s="92"/>
    </row>
    <row r="129" spans="1:11" ht="19.899999999999999" customHeight="1" thickBot="1">
      <c r="A129" s="263" t="s">
        <v>203</v>
      </c>
      <c r="B129" s="147">
        <f>SUM(B123:B125)</f>
        <v>230349.60940876656</v>
      </c>
      <c r="C129" s="148">
        <f>SUM(B123:C125)</f>
        <v>262971.30425340193</v>
      </c>
      <c r="D129" s="148">
        <f>SUM($B123:D125)</f>
        <v>307274.92014981707</v>
      </c>
      <c r="E129" s="148">
        <f>SUM($B123:E125)</f>
        <v>370242.60603449889</v>
      </c>
      <c r="F129" s="148">
        <f>SUM($B123:F125)</f>
        <v>447406.84704637167</v>
      </c>
      <c r="G129" s="148">
        <f>SUM($B123:G125)</f>
        <v>539730.30678745022</v>
      </c>
      <c r="H129" s="148">
        <f>SUM($B123:H125)</f>
        <v>642876.69599966751</v>
      </c>
      <c r="I129" s="148">
        <f>SUM($B123:I125)</f>
        <v>756116.25328512443</v>
      </c>
      <c r="J129" s="273">
        <f>SUM($B123:J125)</f>
        <v>879468.4509144004</v>
      </c>
      <c r="K129" s="92"/>
    </row>
    <row r="130" spans="1:11" ht="19.899999999999999" customHeight="1">
      <c r="A130" s="474"/>
      <c r="B130" s="470"/>
      <c r="C130" s="470"/>
      <c r="D130" s="446" t="s">
        <v>55</v>
      </c>
      <c r="E130" s="470"/>
      <c r="F130" s="470"/>
      <c r="G130" s="470"/>
      <c r="H130" s="470"/>
      <c r="I130" s="470"/>
      <c r="J130" s="470"/>
      <c r="K130" s="476"/>
    </row>
    <row r="131" spans="1:11" ht="19.899999999999999" customHeight="1">
      <c r="A131" s="482" t="s">
        <v>300</v>
      </c>
      <c r="B131" s="483" t="s">
        <v>201</v>
      </c>
      <c r="C131" s="484" t="s">
        <v>292</v>
      </c>
      <c r="D131" s="484" t="s">
        <v>293</v>
      </c>
      <c r="E131" s="484" t="s">
        <v>294</v>
      </c>
      <c r="F131" s="484" t="s">
        <v>295</v>
      </c>
      <c r="G131" s="484" t="s">
        <v>296</v>
      </c>
      <c r="H131" s="484" t="s">
        <v>297</v>
      </c>
      <c r="I131" s="484" t="s">
        <v>298</v>
      </c>
      <c r="J131" s="485" t="s">
        <v>299</v>
      </c>
      <c r="K131" s="486" t="s">
        <v>54</v>
      </c>
    </row>
    <row r="132" spans="1:11" ht="19.899999999999999" customHeight="1">
      <c r="A132" s="82" t="str">
        <f>'Compliance Calculator 2'!A168</f>
        <v>Annual BEVs</v>
      </c>
      <c r="B132" s="149">
        <f>IF(((B123*3.29)*1.6)&lt;'Compliance Calculator 2'!C74, ('Compliance Calculator 2'!C74-('Compliance Calculator 2'!C64*1.6))/3.29, 0)</f>
        <v>0</v>
      </c>
      <c r="C132" s="83">
        <f>'Compliance Calculator 2'!B$153+'Compliance Calculator 2'!B168</f>
        <v>8078.8502407341621</v>
      </c>
      <c r="D132" s="83">
        <f>'Compliance Calculator 2'!C$153+'Compliance Calculator 2'!C$168</f>
        <v>18078.931491684969</v>
      </c>
      <c r="E132" s="83">
        <f>'Compliance Calculator 2'!D$153+'Compliance Calculator 2'!D$168</f>
        <v>30450.32879993588</v>
      </c>
      <c r="F132" s="83">
        <f>'Compliance Calculator 2'!E$153+'Compliance Calculator 2'!E$168</f>
        <v>44564.092763987297</v>
      </c>
      <c r="G132" s="83">
        <f>'Compliance Calculator 2'!F$153+'Compliance Calculator 2'!F$168</f>
        <v>49705.218120667225</v>
      </c>
      <c r="H132" s="83">
        <f>'Compliance Calculator 2'!G$153+'Compliance Calculator 2'!G$168</f>
        <v>57070.773097891899</v>
      </c>
      <c r="I132" s="83">
        <f>'Compliance Calculator 2'!H$153+'Compliance Calculator 2'!H$168</f>
        <v>63685.873207769924</v>
      </c>
      <c r="J132" s="84">
        <f>'Compliance Calculator 2'!I$153+'Compliance Calculator 2'!I$168</f>
        <v>69966.731736617963</v>
      </c>
      <c r="K132" s="259">
        <f>SUM(C132:J132)</f>
        <v>341600.79945928935</v>
      </c>
    </row>
    <row r="133" spans="1:11" ht="19.899999999999999" customHeight="1">
      <c r="A133" s="82" t="str">
        <f>'Compliance Calculator 2'!A169</f>
        <v>Annual PHEVs</v>
      </c>
      <c r="B133" s="150">
        <f>'Compliance Calculator 2'!C75/1.98</f>
        <v>0</v>
      </c>
      <c r="C133" s="94">
        <f>'Compliance Calculator 2'!B$155+'Compliance Calculator 2'!B169</f>
        <v>76163.823627958365</v>
      </c>
      <c r="D133" s="94">
        <f>'Compliance Calculator 2'!C$155+'Compliance Calculator 2'!C$169</f>
        <v>97110.849114400757</v>
      </c>
      <c r="E133" s="94">
        <f>'Compliance Calculator 2'!D$155+'Compliance Calculator 2'!D$169</f>
        <v>141835.57747268138</v>
      </c>
      <c r="F133" s="94">
        <f>'Compliance Calculator 2'!E$155+'Compliance Calculator 2'!E$169</f>
        <v>165459.92173259362</v>
      </c>
      <c r="G133" s="94">
        <f>'Compliance Calculator 2'!F$155+'Compliance Calculator 2'!F$169</f>
        <v>185105.14711871758</v>
      </c>
      <c r="H133" s="94">
        <f>'Compliance Calculator 2'!G$155+'Compliance Calculator 2'!G$169</f>
        <v>201997.64659786818</v>
      </c>
      <c r="I133" s="94">
        <f>'Compliance Calculator 2'!H$155+'Compliance Calculator 2'!H$169</f>
        <v>217589.99772348802</v>
      </c>
      <c r="J133" s="95">
        <f>'Compliance Calculator 2'!I$155+'Compliance Calculator 2'!I$169</f>
        <v>233346.55459406052</v>
      </c>
      <c r="K133" s="261">
        <f>SUM(C133:J133)</f>
        <v>1318609.5179817686</v>
      </c>
    </row>
    <row r="134" spans="1:11" ht="19.899999999999999" customHeight="1">
      <c r="A134" s="82" t="s">
        <v>59</v>
      </c>
      <c r="B134" s="152"/>
      <c r="C134" s="83">
        <f>C132</f>
        <v>8078.8502407341621</v>
      </c>
      <c r="D134" s="83">
        <f>SUM($C132:D132)</f>
        <v>26157.781732419131</v>
      </c>
      <c r="E134" s="83">
        <f>SUM($C132:E132)</f>
        <v>56608.110532355015</v>
      </c>
      <c r="F134" s="83">
        <f>SUM($C132:F132)</f>
        <v>101172.20329634231</v>
      </c>
      <c r="G134" s="83">
        <f>SUM($C132:G132)</f>
        <v>150877.42141700955</v>
      </c>
      <c r="H134" s="83">
        <f>SUM($C132:H132)</f>
        <v>207948.19451490144</v>
      </c>
      <c r="I134" s="83">
        <f>SUM($C132:I132)</f>
        <v>271634.06772267137</v>
      </c>
      <c r="J134" s="84">
        <f>SUM($C132:J132)</f>
        <v>341600.79945928935</v>
      </c>
      <c r="K134" s="262"/>
    </row>
    <row r="135" spans="1:11" ht="19.899999999999999" customHeight="1">
      <c r="A135" s="93" t="s">
        <v>60</v>
      </c>
      <c r="B135" s="152"/>
      <c r="C135" s="94">
        <f>C133</f>
        <v>76163.823627958365</v>
      </c>
      <c r="D135" s="94">
        <f>SUM($C133:D133)</f>
        <v>173274.67274235911</v>
      </c>
      <c r="E135" s="94">
        <f>SUM($C133:E133)</f>
        <v>315110.25021504052</v>
      </c>
      <c r="F135" s="94">
        <f>SUM($C133:F133)</f>
        <v>480570.17194763414</v>
      </c>
      <c r="G135" s="94">
        <f>SUM($C133:G133)</f>
        <v>665675.31906635175</v>
      </c>
      <c r="H135" s="94">
        <f>SUM($C133:H133)</f>
        <v>867672.96566421993</v>
      </c>
      <c r="I135" s="94">
        <f>SUM($C133:I133)</f>
        <v>1085262.9633877079</v>
      </c>
      <c r="J135" s="94">
        <f>SUM($C133:J133)</f>
        <v>1318609.5179817686</v>
      </c>
      <c r="K135" s="262"/>
    </row>
    <row r="136" spans="1:11" ht="19.899999999999999" customHeight="1">
      <c r="A136" s="82" t="s">
        <v>202</v>
      </c>
      <c r="B136" s="189">
        <f>B129+(SUM(B132:B133))</f>
        <v>230349.60940876656</v>
      </c>
      <c r="C136" s="83">
        <f>SUM(B132:C133)+B129+C127</f>
        <v>316340.42610575334</v>
      </c>
      <c r="D136" s="83">
        <f>SUM($B132:D133)+B129+D127</f>
        <v>435104.59309974039</v>
      </c>
      <c r="E136" s="83">
        <f>SUM($B132:E133)+B129+E127</f>
        <v>612919.0243510796</v>
      </c>
      <c r="F136" s="83">
        <f>SUM($B132:F133)+B129+F127</f>
        <v>830556.62778091105</v>
      </c>
      <c r="G136" s="83">
        <f>SUM($B132:G133)+B129+G127</f>
        <v>1078777.171693061</v>
      </c>
      <c r="H136" s="83">
        <f>SUM($B132:H133)+B129+H127</f>
        <v>1353892.1019096423</v>
      </c>
      <c r="I136" s="83">
        <f>SUM($B132:I133)+B129+I127</f>
        <v>1653834.094048633</v>
      </c>
      <c r="J136" s="190">
        <f>SUM($B132:J133)+B129+J127</f>
        <v>1978530.0283817307</v>
      </c>
      <c r="K136" s="262"/>
    </row>
    <row r="137" spans="1:11" ht="19.899999999999999" customHeight="1">
      <c r="A137" s="264" t="s">
        <v>237</v>
      </c>
      <c r="B137" s="274">
        <f>B136-B129</f>
        <v>0</v>
      </c>
      <c r="C137" s="186">
        <f>C136-C129</f>
        <v>53369.121852351411</v>
      </c>
      <c r="D137" s="186">
        <f t="shared" ref="D137:J137" si="11">D136-D129</f>
        <v>127829.67294992332</v>
      </c>
      <c r="E137" s="186">
        <f t="shared" si="11"/>
        <v>242676.4183165807</v>
      </c>
      <c r="F137" s="186">
        <f t="shared" si="11"/>
        <v>383149.78073453938</v>
      </c>
      <c r="G137" s="186">
        <f t="shared" si="11"/>
        <v>539046.8649056108</v>
      </c>
      <c r="H137" s="186">
        <f t="shared" si="11"/>
        <v>711015.40590997483</v>
      </c>
      <c r="I137" s="186">
        <f t="shared" si="11"/>
        <v>897717.84076350858</v>
      </c>
      <c r="J137" s="275">
        <f t="shared" si="11"/>
        <v>1099061.5774673303</v>
      </c>
      <c r="K137" s="276"/>
    </row>
    <row r="165" spans="1:22" ht="19.899999999999999" customHeight="1" thickBot="1">
      <c r="A165" s="72" t="s">
        <v>56</v>
      </c>
    </row>
    <row r="166" spans="1:22" ht="19.899999999999999" customHeight="1" thickBot="1">
      <c r="A166" s="64" t="s">
        <v>40</v>
      </c>
      <c r="B166" s="65"/>
      <c r="C166" s="65"/>
      <c r="D166" s="65"/>
      <c r="E166" s="65"/>
      <c r="F166" s="65"/>
      <c r="G166" s="65"/>
      <c r="H166" s="65"/>
      <c r="I166" s="65"/>
      <c r="J166" s="66"/>
    </row>
    <row r="167" spans="1:22" ht="19.899999999999999" customHeight="1">
      <c r="A167" s="477" t="s">
        <v>300</v>
      </c>
      <c r="B167" s="483" t="s">
        <v>207</v>
      </c>
      <c r="C167" s="487" t="s">
        <v>292</v>
      </c>
      <c r="D167" s="487" t="s">
        <v>293</v>
      </c>
      <c r="E167" s="487" t="s">
        <v>294</v>
      </c>
      <c r="F167" s="487" t="s">
        <v>295</v>
      </c>
      <c r="G167" s="487" t="s">
        <v>296</v>
      </c>
      <c r="H167" s="487" t="s">
        <v>297</v>
      </c>
      <c r="I167" s="487" t="s">
        <v>298</v>
      </c>
      <c r="J167" s="488" t="s">
        <v>299</v>
      </c>
      <c r="K167" s="489" t="s">
        <v>54</v>
      </c>
    </row>
    <row r="168" spans="1:22" ht="19.899999999999999" customHeight="1">
      <c r="A168" s="490" t="str">
        <f>'Compliance Calculator 3'!A$153</f>
        <v>Annual BEVs</v>
      </c>
      <c r="B168" s="491">
        <f>('Compliance Calculator 3'!$C$64+'Compliance Calculator 3'!$F$64)/3.29</f>
        <v>7456.1656436695994</v>
      </c>
      <c r="C168" s="492">
        <f>'Compliance Calculator 3'!B$153</f>
        <v>12435.553722447843</v>
      </c>
      <c r="D168" s="492">
        <f>'Compliance Calculator 3'!C$153</f>
        <v>22050.410540418114</v>
      </c>
      <c r="E168" s="492">
        <f>'Compliance Calculator 3'!D$153</f>
        <v>31567.780005408938</v>
      </c>
      <c r="F168" s="492">
        <f>'Compliance Calculator 3'!E$153</f>
        <v>39962.196151338139</v>
      </c>
      <c r="G168" s="492">
        <f>'Compliance Calculator 3'!F$153</f>
        <v>43957.976419633451</v>
      </c>
      <c r="H168" s="492">
        <f>'Compliance Calculator 3'!G$153</f>
        <v>50031.566210810641</v>
      </c>
      <c r="I168" s="492">
        <f>'Compliance Calculator 3'!H$153</f>
        <v>55479.662920659881</v>
      </c>
      <c r="J168" s="493">
        <f>'Compliance Calculator 3'!I$153</f>
        <v>60661.848120943163</v>
      </c>
      <c r="K168" s="494">
        <f>SUM(C168:J168)</f>
        <v>316146.99409166019</v>
      </c>
    </row>
    <row r="169" spans="1:22" ht="19.899999999999999" customHeight="1">
      <c r="A169" s="495" t="str">
        <f>'Compliance Calculator 3'!A$154</f>
        <v>Annual FCEVs</v>
      </c>
      <c r="B169" s="496"/>
      <c r="C169" s="497">
        <f>'Compliance Calculator 3'!B$154</f>
        <v>2368.3782706994598</v>
      </c>
      <c r="D169" s="497">
        <f>'Compliance Calculator 3'!C$154</f>
        <v>4842.5671605160942</v>
      </c>
      <c r="E169" s="497">
        <f>'Compliance Calculator 3'!D$154</f>
        <v>7306.6044092032489</v>
      </c>
      <c r="F169" s="497">
        <f>'Compliance Calculator 3'!E$154</f>
        <v>9826.629336292719</v>
      </c>
      <c r="G169" s="497">
        <f>'Compliance Calculator 3'!F$154</f>
        <v>16214.947336704085</v>
      </c>
      <c r="H169" s="497">
        <f>'Compliance Calculator 3'!G$154</f>
        <v>19402.673848143153</v>
      </c>
      <c r="I169" s="497">
        <f>'Compliance Calculator 3'!H$154</f>
        <v>22570.181930432507</v>
      </c>
      <c r="J169" s="498">
        <f>'Compliance Calculator 3'!I$154</f>
        <v>25854.876339766444</v>
      </c>
      <c r="K169" s="499">
        <f>SUM(C169:J169)</f>
        <v>108386.85863175771</v>
      </c>
    </row>
    <row r="170" spans="1:22" ht="19.899999999999999" customHeight="1">
      <c r="A170" s="500" t="str">
        <f>'Compliance Calculator 3'!A$155</f>
        <v>Annual PHEVs</v>
      </c>
      <c r="B170" s="491">
        <f>'Compliance Calculator 3'!$C$65/1.98</f>
        <v>0</v>
      </c>
      <c r="C170" s="501">
        <f>'Compliance Calculator 3'!B155</f>
        <v>44262.617770044482</v>
      </c>
      <c r="D170" s="501">
        <f>'Compliance Calculator 3'!C155</f>
        <v>53566.548635088853</v>
      </c>
      <c r="E170" s="501">
        <f>'Compliance Calculator 3'!D155</f>
        <v>64964.669598552944</v>
      </c>
      <c r="F170" s="501">
        <f>'Compliance Calculator 3'!E155</f>
        <v>73764.074941543193</v>
      </c>
      <c r="G170" s="501">
        <f>'Compliance Calculator 3'!F155</f>
        <v>76374.236205503345</v>
      </c>
      <c r="H170" s="501">
        <f>'Compliance Calculator 3'!G155</f>
        <v>82830.569212675269</v>
      </c>
      <c r="I170" s="501">
        <f>'Compliance Calculator 3'!H155</f>
        <v>88777.567185231164</v>
      </c>
      <c r="J170" s="501">
        <f>'Compliance Calculator 3'!I155</f>
        <v>94835.163438526113</v>
      </c>
      <c r="K170" s="502">
        <f>SUM(C170:J170)</f>
        <v>579375.44698716537</v>
      </c>
      <c r="O170" s="178"/>
      <c r="P170" s="178"/>
      <c r="Q170" s="178"/>
      <c r="R170" s="178"/>
      <c r="S170" s="178"/>
      <c r="T170" s="178"/>
      <c r="U170" s="178"/>
      <c r="V170" s="178"/>
    </row>
    <row r="171" spans="1:22" ht="19.899999999999999" customHeight="1">
      <c r="A171" s="490" t="s">
        <v>59</v>
      </c>
      <c r="B171" s="503"/>
      <c r="C171" s="504">
        <f>C168</f>
        <v>12435.553722447843</v>
      </c>
      <c r="D171" s="505">
        <f>SUM($C168:D168)</f>
        <v>34485.964262865957</v>
      </c>
      <c r="E171" s="505">
        <f>SUM($C168:E168)</f>
        <v>66053.744268274895</v>
      </c>
      <c r="F171" s="505">
        <f>SUM($C168:F168)</f>
        <v>106015.94041961303</v>
      </c>
      <c r="G171" s="505">
        <f>SUM($C168:G168)</f>
        <v>149973.91683924649</v>
      </c>
      <c r="H171" s="505">
        <f>SUM($C168:H168)</f>
        <v>200005.48305005714</v>
      </c>
      <c r="I171" s="505">
        <f>SUM($C168:I168)</f>
        <v>255485.14597071701</v>
      </c>
      <c r="J171" s="506">
        <f>SUM($C168:J168)</f>
        <v>316146.99409166019</v>
      </c>
      <c r="K171" s="507"/>
    </row>
    <row r="172" spans="1:22" ht="19.899999999999999" customHeight="1">
      <c r="A172" s="495" t="s">
        <v>209</v>
      </c>
      <c r="B172" s="508"/>
      <c r="C172" s="509">
        <f>C169</f>
        <v>2368.3782706994598</v>
      </c>
      <c r="D172" s="510">
        <f>SUM($C169:D169)</f>
        <v>7210.945431215554</v>
      </c>
      <c r="E172" s="510">
        <f>SUM($C169:E169)</f>
        <v>14517.549840418804</v>
      </c>
      <c r="F172" s="510">
        <f>SUM($C169:F169)</f>
        <v>24344.179176711521</v>
      </c>
      <c r="G172" s="510">
        <f>SUM($C169:G169)</f>
        <v>40559.126513415606</v>
      </c>
      <c r="H172" s="510">
        <f>SUM($C169:H169)</f>
        <v>59961.800361558759</v>
      </c>
      <c r="I172" s="510">
        <f>SUM($C169:I169)</f>
        <v>82531.982291991269</v>
      </c>
      <c r="J172" s="511">
        <f>SUM($C169:J169)</f>
        <v>108386.85863175771</v>
      </c>
      <c r="K172" s="507"/>
    </row>
    <row r="173" spans="1:22" ht="19.899999999999999" customHeight="1">
      <c r="A173" s="500" t="s">
        <v>208</v>
      </c>
      <c r="B173" s="512"/>
      <c r="C173" s="513">
        <f>C170</f>
        <v>44262.617770044482</v>
      </c>
      <c r="D173" s="514">
        <f>SUM($C170:D170)</f>
        <v>97829.166405133336</v>
      </c>
      <c r="E173" s="514">
        <f>SUM($C170:E170)</f>
        <v>162793.83600368627</v>
      </c>
      <c r="F173" s="514">
        <f>SUM($C170:F170)</f>
        <v>236557.91094522947</v>
      </c>
      <c r="G173" s="514">
        <f>SUM($C170:G170)</f>
        <v>312932.14715073281</v>
      </c>
      <c r="H173" s="514">
        <f>SUM($C170:H170)</f>
        <v>395762.71636340808</v>
      </c>
      <c r="I173" s="514">
        <f>SUM($C170:I170)</f>
        <v>484540.28354863927</v>
      </c>
      <c r="J173" s="515">
        <f>SUM($C170:J170)</f>
        <v>579375.44698716537</v>
      </c>
      <c r="K173" s="507"/>
    </row>
    <row r="174" spans="1:22" ht="19.899999999999999" customHeight="1" thickBot="1">
      <c r="A174" s="516" t="s">
        <v>203</v>
      </c>
      <c r="B174" s="517">
        <f>SUM(B168:B170)</f>
        <v>7456.1656436695994</v>
      </c>
      <c r="C174" s="518">
        <f>SUM(B168:C170)</f>
        <v>66522.715406861389</v>
      </c>
      <c r="D174" s="518">
        <f>SUM($B168:D170)</f>
        <v>146982.24174288445</v>
      </c>
      <c r="E174" s="518">
        <f>SUM($B168:E170)</f>
        <v>250821.2957560496</v>
      </c>
      <c r="F174" s="518">
        <f>SUM($B168:F170)</f>
        <v>374374.19618522364</v>
      </c>
      <c r="G174" s="518">
        <f>SUM($B168:G170)</f>
        <v>510921.35614706448</v>
      </c>
      <c r="H174" s="518">
        <f>SUM($B168:H170)</f>
        <v>663186.16541869356</v>
      </c>
      <c r="I174" s="518">
        <f>SUM($B168:I170)</f>
        <v>830013.57745501713</v>
      </c>
      <c r="J174" s="519">
        <f>SUM($B168:J170)</f>
        <v>1011365.4653542528</v>
      </c>
      <c r="K174" s="520"/>
    </row>
    <row r="175" spans="1:22" ht="19.899999999999999" customHeight="1" thickBot="1">
      <c r="A175" s="521"/>
      <c r="B175" s="522"/>
      <c r="C175" s="522"/>
      <c r="D175" s="523" t="s">
        <v>55</v>
      </c>
      <c r="E175" s="522"/>
      <c r="F175" s="522"/>
      <c r="G175" s="522"/>
      <c r="H175" s="522"/>
      <c r="I175" s="522"/>
      <c r="J175" s="524"/>
      <c r="K175" s="507"/>
    </row>
    <row r="176" spans="1:22" ht="19.899999999999999" customHeight="1">
      <c r="A176" s="482" t="s">
        <v>300</v>
      </c>
      <c r="B176" s="478" t="s">
        <v>201</v>
      </c>
      <c r="C176" s="525" t="s">
        <v>292</v>
      </c>
      <c r="D176" s="525" t="s">
        <v>293</v>
      </c>
      <c r="E176" s="525" t="s">
        <v>294</v>
      </c>
      <c r="F176" s="525" t="s">
        <v>295</v>
      </c>
      <c r="G176" s="525" t="s">
        <v>296</v>
      </c>
      <c r="H176" s="525" t="s">
        <v>297</v>
      </c>
      <c r="I176" s="525" t="s">
        <v>298</v>
      </c>
      <c r="J176" s="526" t="s">
        <v>299</v>
      </c>
      <c r="K176" s="486" t="s">
        <v>54</v>
      </c>
    </row>
    <row r="177" spans="1:11" ht="19.899999999999999" customHeight="1">
      <c r="A177" s="82" t="str">
        <f>'Compliance Calculator 3'!A168</f>
        <v>Annual BEVs</v>
      </c>
      <c r="B177" s="149">
        <f>IF((B168*3.29*1.6)&lt;'Compliance Calculator 3'!C74, ('Compliance Calculator 3'!C74-('Compliance Calculator 3'!C64*1.6))/3.29, 0)</f>
        <v>0</v>
      </c>
      <c r="C177" s="83">
        <f>'Compliance Calculator 3'!B$153+'Compliance Calculator 3'!B168</f>
        <v>23215.978377187079</v>
      </c>
      <c r="D177" s="83">
        <f>'Compliance Calculator 3'!C$153+'Compliance Calculator 3'!C$168</f>
        <v>44382.399553839001</v>
      </c>
      <c r="E177" s="83">
        <f>'Compliance Calculator 3'!D$153+'Compliance Calculator 3'!D$168</f>
        <v>69022.67952865304</v>
      </c>
      <c r="F177" s="83">
        <f>'Compliance Calculator 3'!E$153+'Compliance Calculator 3'!E$168</f>
        <v>94234.763363506703</v>
      </c>
      <c r="G177" s="83">
        <f>'Compliance Calculator 3'!F$153+'Compliance Calculator 3'!F$168</f>
        <v>103858.5812642758</v>
      </c>
      <c r="H177" s="83">
        <f>'Compliance Calculator 3'!G$153+'Compliance Calculator 3'!G$168</f>
        <v>118200.9060758469</v>
      </c>
      <c r="I177" s="83">
        <f>'Compliance Calculator 3'!H$153+'Compliance Calculator 3'!H$168</f>
        <v>131066.05228277741</v>
      </c>
      <c r="J177" s="84">
        <f>'Compliance Calculator 3'!I$153+'Compliance Calculator 3'!I$168</f>
        <v>143303.44850013289</v>
      </c>
      <c r="K177" s="259">
        <f>SUM(C177:J177)</f>
        <v>727284.80894621881</v>
      </c>
    </row>
    <row r="178" spans="1:11" ht="19.899999999999999" customHeight="1">
      <c r="A178" s="82" t="str">
        <f>'Compliance Calculator 3'!A169</f>
        <v>Annual PHEVs</v>
      </c>
      <c r="B178" s="149">
        <f>'Compliance Calculator 3'!C75/1.98</f>
        <v>0</v>
      </c>
      <c r="C178" s="94">
        <f>'Compliance Calculator 3'!B$155+'Compliance Calculator 3'!B169</f>
        <v>98544.631847278419</v>
      </c>
      <c r="D178" s="94">
        <f>'Compliance Calculator 3'!C$155+'Compliance Calculator 3'!C$169</f>
        <v>125749.71542945257</v>
      </c>
      <c r="E178" s="94">
        <f>'Compliance Calculator 3'!D$155+'Compliance Calculator 3'!D$169</f>
        <v>153636.21387130613</v>
      </c>
      <c r="F178" s="94">
        <f>'Compliance Calculator 3'!E$155+'Compliance Calculator 3'!E$169</f>
        <v>174752.41324153991</v>
      </c>
      <c r="G178" s="94">
        <f>'Compliance Calculator 3'!F$155+'Compliance Calculator 3'!F$169</f>
        <v>180875.52774293779</v>
      </c>
      <c r="H178" s="94">
        <f>'Compliance Calculator 3'!G$155+'Compliance Calculator 3'!G$169</f>
        <v>196384.19200120337</v>
      </c>
      <c r="I178" s="94">
        <f>'Compliance Calculator 3'!H$155+'Compliance Calculator 3'!H$169</f>
        <v>210673.38752301995</v>
      </c>
      <c r="J178" s="151">
        <f>'Compliance Calculator 3'!I$155+'Compliance Calculator 3'!I$169</f>
        <v>225215.46105462831</v>
      </c>
      <c r="K178" s="261">
        <f>SUM(C178:J178)</f>
        <v>1365831.5427113664</v>
      </c>
    </row>
    <row r="179" spans="1:11" ht="19.899999999999999" customHeight="1">
      <c r="A179" s="82" t="s">
        <v>59</v>
      </c>
      <c r="B179" s="152"/>
      <c r="C179" s="83">
        <f>C177</f>
        <v>23215.978377187079</v>
      </c>
      <c r="D179" s="83">
        <f>SUM($C177:D177)</f>
        <v>67598.377931026072</v>
      </c>
      <c r="E179" s="83">
        <f>SUM($C177:E177)</f>
        <v>136621.05745967911</v>
      </c>
      <c r="F179" s="83">
        <f>SUM($C177:F177)</f>
        <v>230855.82082318582</v>
      </c>
      <c r="G179" s="83">
        <f>SUM($C177:G177)</f>
        <v>334714.40208746161</v>
      </c>
      <c r="H179" s="83">
        <f>SUM($C177:H177)</f>
        <v>452915.30816330854</v>
      </c>
      <c r="I179" s="83">
        <f>SUM($C177:I177)</f>
        <v>583981.36044608592</v>
      </c>
      <c r="J179" s="84">
        <f>SUM($C177:J177)</f>
        <v>727284.80894621881</v>
      </c>
      <c r="K179" s="262"/>
    </row>
    <row r="180" spans="1:11" ht="19.899999999999999" customHeight="1">
      <c r="A180" s="93" t="s">
        <v>60</v>
      </c>
      <c r="B180" s="152"/>
      <c r="C180" s="94">
        <f>C178</f>
        <v>98544.631847278419</v>
      </c>
      <c r="D180" s="94">
        <f>SUM($C178:D178)</f>
        <v>224294.34727673099</v>
      </c>
      <c r="E180" s="94">
        <f>SUM($C178:E178)</f>
        <v>377930.56114803709</v>
      </c>
      <c r="F180" s="94">
        <f>SUM($C178:F178)</f>
        <v>552682.97438957705</v>
      </c>
      <c r="G180" s="94">
        <f>SUM($C178:G178)</f>
        <v>733558.50213251484</v>
      </c>
      <c r="H180" s="94">
        <f>SUM($C178:H178)</f>
        <v>929942.69413371827</v>
      </c>
      <c r="I180" s="94">
        <f>SUM($C178:I178)</f>
        <v>1140616.0816567382</v>
      </c>
      <c r="J180" s="151">
        <f>SUM($C178:J178)</f>
        <v>1365831.5427113664</v>
      </c>
      <c r="K180" s="262"/>
    </row>
    <row r="181" spans="1:11" ht="19.899999999999999" customHeight="1">
      <c r="A181" s="82" t="s">
        <v>202</v>
      </c>
      <c r="B181" s="189">
        <f>B174+(SUM(B177:B178))</f>
        <v>7456.1656436695994</v>
      </c>
      <c r="C181" s="83">
        <f>SUM(B177:C178)+B174+C172</f>
        <v>131585.15413883456</v>
      </c>
      <c r="D181" s="83">
        <f>SUM($B177:D178)+B174+D172</f>
        <v>306559.83628264227</v>
      </c>
      <c r="E181" s="83">
        <f>SUM($B177:E178)+B174+E172</f>
        <v>536525.33409180469</v>
      </c>
      <c r="F181" s="83">
        <f>SUM($B177:F178)+B174+F172</f>
        <v>815339.14003314392</v>
      </c>
      <c r="G181" s="83">
        <f>SUM($B177:G178)+B174+G172</f>
        <v>1116288.196377062</v>
      </c>
      <c r="H181" s="83">
        <f>SUM($B177:H178)+B174+H172</f>
        <v>1450275.9683022553</v>
      </c>
      <c r="I181" s="83">
        <f>SUM($B177:I178)+B174+I172</f>
        <v>1814585.5900384849</v>
      </c>
      <c r="J181" s="190">
        <f>SUM($B177:J178)+B174+J172</f>
        <v>2208959.3759330125</v>
      </c>
      <c r="K181" s="262"/>
    </row>
    <row r="182" spans="1:11" ht="19.899999999999999" customHeight="1">
      <c r="A182" s="264" t="s">
        <v>237</v>
      </c>
      <c r="B182" s="274">
        <f>B181-B174</f>
        <v>0</v>
      </c>
      <c r="C182" s="186">
        <f>C181-C174</f>
        <v>65062.438731973176</v>
      </c>
      <c r="D182" s="186">
        <f t="shared" ref="D182:J182" si="12">D181-D174</f>
        <v>159577.59453975782</v>
      </c>
      <c r="E182" s="186">
        <f t="shared" si="12"/>
        <v>285704.03833575512</v>
      </c>
      <c r="F182" s="186">
        <f t="shared" si="12"/>
        <v>440964.94384792028</v>
      </c>
      <c r="G182" s="186">
        <f t="shared" si="12"/>
        <v>605366.84022999753</v>
      </c>
      <c r="H182" s="186">
        <f t="shared" si="12"/>
        <v>787089.8028835617</v>
      </c>
      <c r="I182" s="186">
        <f t="shared" si="12"/>
        <v>984572.01258346776</v>
      </c>
      <c r="J182" s="275">
        <f t="shared" si="12"/>
        <v>1197593.9105787596</v>
      </c>
      <c r="K182" s="276"/>
    </row>
    <row r="210" spans="1:1" ht="19.899999999999999" customHeight="1">
      <c r="A210" s="280" t="s">
        <v>302</v>
      </c>
    </row>
  </sheetData>
  <dataValidations xWindow="358" yWindow="402" count="17">
    <dataValidation type="decimal" allowBlank="1" showInputMessage="1" showErrorMessage="1" error="The value you entered is not valid._x000a__x000a_Please enter a value between 0 and 1." prompt="Please enter a value between 0 and 1." sqref="D9:J9">
      <formula1>0</formula1>
      <formula2>1</formula2>
    </dataValidation>
    <dataValidation type="list" allowBlank="1" showInputMessage="1" showErrorMessage="1" sqref="D25:J25">
      <formula1>"0,0.25,0.50,0.75,1"</formula1>
    </dataValidation>
    <dataValidation type="list" allowBlank="1" showInputMessage="1" showErrorMessage="1" sqref="B17 B26:B27 B24 B19:B20 B12:B13 B10">
      <formula1>$AC$14:$AC$17</formula1>
    </dataValidation>
    <dataValidation allowBlank="1" showInputMessage="1" showErrorMessage="1" promptTitle="Pre-2018 " prompt="This does not include all vehicles produced prior to 2018 model year. This is the number of historical credits used to comply in this scenario through 2025, translated back into the number of vehicles it would have taken to produce those credits. " sqref="B168:B169 B123:B124 B77 B81:B83"/>
    <dataValidation allowBlank="1" showInputMessage="1" showErrorMessage="1" promptTitle="S177 Pre-2018" prompt="This does not include all vehicles produced prior to 2018 model year. This is the number of historical credits used to comply in this scenario through 2025, translated back into the number of vehicles it would have taken to produce those credits. " sqref="B86:B91 B131:B136 B176:B181"/>
    <dataValidation allowBlank="1" showInputMessage="1" showErrorMessage="1" promptTitle="Pre- 2018" prompt="This does not include all vehicles produced prior to 2018 model year. This is the number of historical credits used to comply in this scenario through 2025, translated back into the number of vehicles it would have taken to produce those credits. " sqref="B122 B125:B129"/>
    <dataValidation allowBlank="1" showInputMessage="1" showErrorMessage="1" promptTitle="Pre-2018" prompt="This does not include all vehicles produced prior to 2018 model year. This is the number of historical credits used to comply in this scenario through 2025, translated back into the number of vehicles it would have taken to produce those credits. " sqref="B167 B170:B174"/>
    <dataValidation allowBlank="1" showInputMessage="1" showErrorMessage="1" promptTitle="BEV Label Range" prompt="Input average BEV all electric label range for 2018 MY. Growth rate from cell C10 will apply automatically to 2019-2025." sqref="C10 C17 C24"/>
    <dataValidation allowBlank="1" showInputMessage="1" showErrorMessage="1" promptTitle="PHEV A Label Range" prompt="Input average PHEV A all-electric label range for 2018 MY. Growth rate from cell B12 will apply automatically to 2019-2025." sqref="C12 C19 C26"/>
    <dataValidation allowBlank="1" showInputMessage="1" showErrorMessage="1" promptTitle="PHEV B Label Range" prompt="Input average PHEV B all-electric label range for 2018 MY. Growth rate from cell B13 will apply automatically to 2019-2025." sqref="C13 C20 C27"/>
    <dataValidation allowBlank="1" showInputMessage="1" showErrorMessage="1" promptTitle="Vehicles from the Credit Bank" prompt="This is the number of historical credits used to comply in this scenario through 2025, translated back into the number of vehicles it would have taken to produce those credits. &quot;3.5&quot; represents the average credit per ZEV earned in 2015 MY." sqref="B78:B79"/>
    <dataValidation allowBlank="1" showInputMessage="1" showErrorMessage="1" promptTitle="Vehicles from the Credit Bank" prompt="This is the number of historical credits used to comply in this scenario through 2025, translated back into the number of vehicles it would have taken to produce those credits. &quot;1.97&quot; represents the average credit per TZEV earned in 2015 MY." sqref="B80"/>
    <dataValidation allowBlank="1" showErrorMessage="1" promptTitle="Pre-2018 " prompt="This does not include all vehicles produced prior to 2018 model year. This is the number of historical credits used to comply in this scenario through 2025, translated back into the number of vehicles it would have taken to produce those credits. " sqref="B84"/>
    <dataValidation type="decimal" allowBlank="1" showInputMessage="1" showErrorMessage="1" error="The value you entered is not valid._x000a__x000a_Please enter a value between 0 and 1." prompt="Enter a value between 0% and 100%." sqref="C9">
      <formula1>0</formula1>
      <formula2>1</formula2>
    </dataValidation>
    <dataValidation allowBlank="1" showInputMessage="1" showErrorMessage="1" prompt="Enter a value between 0% and 100%." sqref="C11 C16 C18 C23"/>
    <dataValidation type="list" allowBlank="1" showInputMessage="1" showErrorMessage="1" prompt="Enter a value between 0% and 100%." sqref="C25">
      <formula1>"0,0.25,0.50,0.75,1"</formula1>
    </dataValidation>
    <dataValidation allowBlank="1" showInputMessage="1" showErrorMessage="1" prompt="Annual percentage growth rate applied to 2018 label range" sqref="B8 B15 B22"/>
  </dataValidations>
  <printOptions horizontalCentered="1"/>
  <pageMargins left="0.25" right="0.25" top="0.5" bottom="0.25" header="0.3" footer="0.3"/>
  <pageSetup scale="65" orientation="landscape" r:id="rId1"/>
  <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tint="0.39997558519241921"/>
    <pageSetUpPr fitToPage="1"/>
  </sheetPr>
  <dimension ref="A1:V176"/>
  <sheetViews>
    <sheetView zoomScaleNormal="100" zoomScaleSheetLayoutView="55" workbookViewId="0">
      <pane ySplit="1" topLeftCell="A68" activePane="bottomLeft" state="frozen"/>
      <selection pane="bottomLeft" activeCell="H1" sqref="H1:N1"/>
    </sheetView>
  </sheetViews>
  <sheetFormatPr defaultRowHeight="15"/>
  <cols>
    <col min="1" max="1" width="88.140625" style="118" customWidth="1"/>
    <col min="2" max="3" width="14.7109375" customWidth="1"/>
    <col min="4" max="4" width="16.28515625" customWidth="1"/>
    <col min="5" max="5" width="13.5703125" customWidth="1"/>
    <col min="6" max="6" width="14.42578125" customWidth="1"/>
    <col min="7" max="7" width="16" customWidth="1"/>
    <col min="8" max="9" width="13.5703125" customWidth="1"/>
    <col min="10" max="10" width="12.140625" bestFit="1" customWidth="1"/>
    <col min="11" max="11" width="17.42578125" customWidth="1"/>
    <col min="12" max="12" width="13.7109375" bestFit="1" customWidth="1"/>
    <col min="13" max="13" width="13.42578125" bestFit="1" customWidth="1"/>
    <col min="14" max="14" width="17.7109375" customWidth="1"/>
    <col min="15" max="15" width="28.5703125" customWidth="1"/>
  </cols>
  <sheetData>
    <row r="1" spans="1:22" s="118" customFormat="1" ht="96" customHeight="1">
      <c r="A1" s="281"/>
      <c r="B1" s="281"/>
      <c r="C1" s="281"/>
      <c r="D1" s="281"/>
      <c r="E1" s="281"/>
      <c r="F1" s="281"/>
      <c r="G1" s="281"/>
      <c r="H1" s="569" t="s">
        <v>272</v>
      </c>
      <c r="I1" s="570"/>
      <c r="J1" s="570"/>
      <c r="K1" s="571"/>
      <c r="L1" s="572"/>
      <c r="M1" s="572"/>
      <c r="N1" s="572"/>
      <c r="O1" s="281"/>
      <c r="P1" s="281"/>
      <c r="Q1" s="281"/>
      <c r="R1" s="281"/>
      <c r="S1" s="281"/>
      <c r="T1" s="281"/>
      <c r="U1" s="281"/>
      <c r="V1" s="281"/>
    </row>
    <row r="2" spans="1:22" ht="15.75" thickBot="1">
      <c r="A2" s="304" t="s">
        <v>189</v>
      </c>
      <c r="B2" s="284" t="s">
        <v>292</v>
      </c>
      <c r="C2" s="284" t="s">
        <v>293</v>
      </c>
      <c r="D2" s="284" t="s">
        <v>294</v>
      </c>
      <c r="E2" s="284" t="s">
        <v>295</v>
      </c>
      <c r="F2" s="284" t="s">
        <v>296</v>
      </c>
      <c r="G2" s="284" t="s">
        <v>297</v>
      </c>
      <c r="H2" s="284" t="s">
        <v>298</v>
      </c>
      <c r="I2" s="284" t="s">
        <v>299</v>
      </c>
      <c r="J2" s="305" t="s">
        <v>306</v>
      </c>
      <c r="K2" s="118"/>
    </row>
    <row r="3" spans="1:22">
      <c r="A3" s="7" t="s">
        <v>77</v>
      </c>
      <c r="B3" s="8">
        <f>'Sales-Mkt Shares Reference'!F6</f>
        <v>15985205.403666668</v>
      </c>
      <c r="C3" s="8">
        <f>'Sales-Mkt Shares Reference'!G6</f>
        <v>16342286.133000001</v>
      </c>
      <c r="D3" s="8">
        <f>'Sales-Mkt Shares Reference'!H6</f>
        <v>16265591.797</v>
      </c>
      <c r="E3" s="8">
        <f>'Sales-Mkt Shares Reference'!I6</f>
        <v>16235905.924666667</v>
      </c>
      <c r="F3" s="8">
        <f>'Sales-Mkt Shares Reference'!J6</f>
        <v>16165185.221333332</v>
      </c>
      <c r="G3" s="8">
        <f>'Sales-Mkt Shares Reference'!K6</f>
        <v>16119274.088666666</v>
      </c>
      <c r="H3" s="8">
        <f>'Sales-Mkt Shares Reference'!L6</f>
        <v>16072083.007666666</v>
      </c>
      <c r="I3" s="8">
        <f>'Sales-Mkt Shares Reference'!M6</f>
        <v>16109706.380333334</v>
      </c>
      <c r="J3" s="302">
        <f>'Sales-Mkt Shares Reference'!N6</f>
        <v>16242619.791666666</v>
      </c>
      <c r="K3" s="294" t="s">
        <v>305</v>
      </c>
      <c r="L3" s="295" t="s">
        <v>0</v>
      </c>
      <c r="M3" s="134" t="s">
        <v>107</v>
      </c>
      <c r="N3" s="134"/>
      <c r="O3" s="266"/>
    </row>
    <row r="4" spans="1:22">
      <c r="A4" s="2" t="s">
        <v>180</v>
      </c>
      <c r="B4" s="8">
        <f t="shared" ref="B4:J4" si="0">B3*$L$4</f>
        <v>2557632.8645866667</v>
      </c>
      <c r="C4" s="8">
        <f t="shared" si="0"/>
        <v>2614765.7812800002</v>
      </c>
      <c r="D4" s="8">
        <f t="shared" si="0"/>
        <v>2602494.6875200002</v>
      </c>
      <c r="E4" s="8">
        <f t="shared" si="0"/>
        <v>2597744.9479466667</v>
      </c>
      <c r="F4" s="8">
        <f t="shared" si="0"/>
        <v>2586429.6354133333</v>
      </c>
      <c r="G4" s="8">
        <f t="shared" si="0"/>
        <v>2579083.8541866667</v>
      </c>
      <c r="H4" s="8">
        <f t="shared" si="0"/>
        <v>2571533.2812266666</v>
      </c>
      <c r="I4" s="100">
        <f t="shared" si="0"/>
        <v>2577553.0208533336</v>
      </c>
      <c r="J4" s="60">
        <f t="shared" si="0"/>
        <v>2598819.1666666665</v>
      </c>
      <c r="K4" s="296" t="s">
        <v>303</v>
      </c>
      <c r="L4" s="298">
        <v>0.16</v>
      </c>
      <c r="M4" s="270" t="s">
        <v>301</v>
      </c>
      <c r="N4" s="270" t="s">
        <v>83</v>
      </c>
      <c r="O4" s="292" t="s">
        <v>104</v>
      </c>
    </row>
    <row r="5" spans="1:22">
      <c r="A5" s="2" t="s">
        <v>181</v>
      </c>
      <c r="B5" s="8">
        <f t="shared" ref="B5:J5" si="1">B3*$L$5</f>
        <v>1918224.6484400001</v>
      </c>
      <c r="C5" s="8">
        <f t="shared" si="1"/>
        <v>1961074.3359600001</v>
      </c>
      <c r="D5" s="8">
        <f t="shared" si="1"/>
        <v>1951871.0156399999</v>
      </c>
      <c r="E5" s="8">
        <f t="shared" si="1"/>
        <v>1948308.7109600001</v>
      </c>
      <c r="F5" s="8">
        <f t="shared" si="1"/>
        <v>1939822.2265599999</v>
      </c>
      <c r="G5" s="8">
        <f t="shared" si="1"/>
        <v>1934312.8906399999</v>
      </c>
      <c r="H5" s="8">
        <f t="shared" si="1"/>
        <v>1928649.9609199998</v>
      </c>
      <c r="I5" s="100">
        <f t="shared" si="1"/>
        <v>1933164.7656400001</v>
      </c>
      <c r="J5" s="60">
        <f t="shared" si="1"/>
        <v>1949114.3749999998</v>
      </c>
      <c r="K5" s="297" t="s">
        <v>304</v>
      </c>
      <c r="L5" s="299">
        <v>0.12</v>
      </c>
      <c r="M5" s="133" t="s">
        <v>103</v>
      </c>
      <c r="N5" s="136">
        <v>5.0395186821820488E-2</v>
      </c>
      <c r="O5" s="267">
        <v>4.9959487512099533E-2</v>
      </c>
    </row>
    <row r="6" spans="1:22">
      <c r="A6" s="5" t="s">
        <v>196</v>
      </c>
      <c r="B6" s="119">
        <f>'Sales-Mkt Shares Reference'!$B$43</f>
        <v>0.9373535351051977</v>
      </c>
      <c r="C6" s="119">
        <f>'Sales-Mkt Shares Reference'!$B$43</f>
        <v>0.9373535351051977</v>
      </c>
      <c r="D6" s="119">
        <f>'Sales-Mkt Shares Reference'!$B$43</f>
        <v>0.9373535351051977</v>
      </c>
      <c r="E6" s="119">
        <f>'Sales-Mkt Shares Reference'!$B$43</f>
        <v>0.9373535351051977</v>
      </c>
      <c r="F6" s="119">
        <f>'Sales-Mkt Shares Reference'!$B$43</f>
        <v>0.9373535351051977</v>
      </c>
      <c r="G6" s="119">
        <f>'Sales-Mkt Shares Reference'!$B$43</f>
        <v>0.9373535351051977</v>
      </c>
      <c r="H6" s="119">
        <f>'Sales-Mkt Shares Reference'!$B$43</f>
        <v>0.9373535351051977</v>
      </c>
      <c r="I6" s="119">
        <f>'Sales-Mkt Shares Reference'!$B$43</f>
        <v>0.9373535351051977</v>
      </c>
      <c r="J6" s="60">
        <f>'Sales-Mkt Shares Reference'!$B$43</f>
        <v>0.9373535351051977</v>
      </c>
      <c r="K6" s="118"/>
      <c r="M6" s="132" t="s">
        <v>90</v>
      </c>
      <c r="N6" s="136">
        <v>9.0645884113901079E-2</v>
      </c>
      <c r="O6" s="267">
        <v>0.13828853959873907</v>
      </c>
    </row>
    <row r="7" spans="1:22">
      <c r="A7" s="5" t="s">
        <v>197</v>
      </c>
      <c r="B7" s="119">
        <f>'Sales-Mkt Shares Reference'!$B$44</f>
        <v>6.2646464894802301E-2</v>
      </c>
      <c r="C7" s="119">
        <f>'Sales-Mkt Shares Reference'!$B$44</f>
        <v>6.2646464894802301E-2</v>
      </c>
      <c r="D7" s="119">
        <f>'Sales-Mkt Shares Reference'!$B$44</f>
        <v>6.2646464894802301E-2</v>
      </c>
      <c r="E7" s="119">
        <f>'Sales-Mkt Shares Reference'!$B$44</f>
        <v>6.2646464894802301E-2</v>
      </c>
      <c r="F7" s="119">
        <f>'Sales-Mkt Shares Reference'!$B$44</f>
        <v>6.2646464894802301E-2</v>
      </c>
      <c r="G7" s="119">
        <f>'Sales-Mkt Shares Reference'!$B$44</f>
        <v>6.2646464894802301E-2</v>
      </c>
      <c r="H7" s="119">
        <f>'Sales-Mkt Shares Reference'!$B$44</f>
        <v>6.2646464894802301E-2</v>
      </c>
      <c r="I7" s="119">
        <f>'Sales-Mkt Shares Reference'!$B$44</f>
        <v>6.2646464894802301E-2</v>
      </c>
      <c r="J7" s="60">
        <f>'Sales-Mkt Shares Reference'!$B$44</f>
        <v>6.2646464894802301E-2</v>
      </c>
      <c r="K7" s="118"/>
      <c r="M7" s="132" t="s">
        <v>91</v>
      </c>
      <c r="N7" s="136">
        <v>0.12462616858641802</v>
      </c>
      <c r="O7" s="267">
        <v>0.13057375277065331</v>
      </c>
    </row>
    <row r="8" spans="1:22">
      <c r="A8" s="5" t="s">
        <v>1</v>
      </c>
      <c r="B8" s="8">
        <f t="shared" ref="B8:J8" si="2">B5*B6</f>
        <v>1798054.6553411591</v>
      </c>
      <c r="C8" s="8">
        <f t="shared" si="2"/>
        <v>1838219.9614161842</v>
      </c>
      <c r="D8" s="8">
        <f t="shared" si="2"/>
        <v>1829593.1965795264</v>
      </c>
      <c r="E8" s="8">
        <f t="shared" si="2"/>
        <v>1826254.0576946069</v>
      </c>
      <c r="F8" s="8">
        <f t="shared" si="2"/>
        <v>1818299.2215416515</v>
      </c>
      <c r="G8" s="8">
        <f t="shared" si="2"/>
        <v>1813135.0260409575</v>
      </c>
      <c r="H8" s="8">
        <f t="shared" si="2"/>
        <v>1807826.858848863</v>
      </c>
      <c r="I8" s="8">
        <f t="shared" si="2"/>
        <v>1812058.8270134651</v>
      </c>
      <c r="J8" s="60">
        <f t="shared" si="2"/>
        <v>1827009.2497306077</v>
      </c>
      <c r="K8" s="118"/>
      <c r="M8" s="132" t="s">
        <v>93</v>
      </c>
      <c r="N8" s="136">
        <v>0.1189602047257894</v>
      </c>
      <c r="O8" s="267">
        <v>0.14577004283875242</v>
      </c>
    </row>
    <row r="9" spans="1:22">
      <c r="A9" s="5" t="s">
        <v>165</v>
      </c>
      <c r="B9" s="8">
        <f t="shared" ref="B9:J9" si="3">B5*B7</f>
        <v>120169.99309884095</v>
      </c>
      <c r="C9" s="8">
        <f t="shared" si="3"/>
        <v>122854.37454381588</v>
      </c>
      <c r="D9" s="8">
        <f t="shared" si="3"/>
        <v>122277.81906047337</v>
      </c>
      <c r="E9" s="8">
        <f t="shared" si="3"/>
        <v>122054.65326539316</v>
      </c>
      <c r="F9" s="8">
        <f t="shared" si="3"/>
        <v>121523.00501834827</v>
      </c>
      <c r="G9" s="8">
        <f t="shared" si="3"/>
        <v>121177.86459904231</v>
      </c>
      <c r="H9" s="8">
        <f t="shared" si="3"/>
        <v>120823.1020711366</v>
      </c>
      <c r="I9" s="8">
        <f t="shared" si="3"/>
        <v>121105.93862653499</v>
      </c>
      <c r="J9" s="60">
        <f t="shared" si="3"/>
        <v>122105.12526939201</v>
      </c>
      <c r="K9" s="118"/>
      <c r="M9" s="132" t="s">
        <v>94</v>
      </c>
      <c r="N9" s="136">
        <v>0.13396532227442101</v>
      </c>
      <c r="O9" s="267">
        <v>0.13765571679503835</v>
      </c>
    </row>
    <row r="10" spans="1:22">
      <c r="A10" s="5" t="s">
        <v>2</v>
      </c>
      <c r="B10" s="119">
        <f>'Sales-Mkt Shares Reference'!$F$43</f>
        <v>0.92410820014987316</v>
      </c>
      <c r="C10" s="119">
        <f>'Sales-Mkt Shares Reference'!$F$43</f>
        <v>0.92410820014987316</v>
      </c>
      <c r="D10" s="119">
        <f>'Sales-Mkt Shares Reference'!$F$43</f>
        <v>0.92410820014987316</v>
      </c>
      <c r="E10" s="119">
        <f>'Sales-Mkt Shares Reference'!$F$43</f>
        <v>0.92410820014987316</v>
      </c>
      <c r="F10" s="119">
        <f>'Sales-Mkt Shares Reference'!$F$43</f>
        <v>0.92410820014987316</v>
      </c>
      <c r="G10" s="119">
        <f>'Sales-Mkt Shares Reference'!$F$43</f>
        <v>0.92410820014987316</v>
      </c>
      <c r="H10" s="119">
        <f>'Sales-Mkt Shares Reference'!$F$43</f>
        <v>0.92410820014987316</v>
      </c>
      <c r="I10" s="119">
        <f>'Sales-Mkt Shares Reference'!$F$43</f>
        <v>0.92410820014987316</v>
      </c>
      <c r="J10" s="60">
        <f>'Sales-Mkt Shares Reference'!$F$43</f>
        <v>0.92410820014987316</v>
      </c>
      <c r="K10" s="118"/>
      <c r="M10" s="132" t="s">
        <v>95</v>
      </c>
      <c r="N10" s="136">
        <v>3.6598371087549125E-2</v>
      </c>
      <c r="O10" s="267">
        <v>4.0522344953484564E-2</v>
      </c>
    </row>
    <row r="11" spans="1:22">
      <c r="A11" s="5" t="s">
        <v>3</v>
      </c>
      <c r="B11" s="119">
        <f>'Sales-Mkt Shares Reference'!$F$44</f>
        <v>7.5891799850126854E-2</v>
      </c>
      <c r="C11" s="119">
        <f>'Sales-Mkt Shares Reference'!$F$44</f>
        <v>7.5891799850126854E-2</v>
      </c>
      <c r="D11" s="119">
        <f>'Sales-Mkt Shares Reference'!$F$44</f>
        <v>7.5891799850126854E-2</v>
      </c>
      <c r="E11" s="119">
        <f>'Sales-Mkt Shares Reference'!$F$44</f>
        <v>7.5891799850126854E-2</v>
      </c>
      <c r="F11" s="119">
        <f>'Sales-Mkt Shares Reference'!$F$44</f>
        <v>7.5891799850126854E-2</v>
      </c>
      <c r="G11" s="119">
        <f>'Sales-Mkt Shares Reference'!$F$44</f>
        <v>7.5891799850126854E-2</v>
      </c>
      <c r="H11" s="119">
        <f>'Sales-Mkt Shares Reference'!$F$44</f>
        <v>7.5891799850126854E-2</v>
      </c>
      <c r="I11" s="119">
        <f>'Sales-Mkt Shares Reference'!$F$44</f>
        <v>7.5891799850126854E-2</v>
      </c>
      <c r="J11" s="60">
        <f>'Sales-Mkt Shares Reference'!$F$44</f>
        <v>7.5891799850126854E-2</v>
      </c>
      <c r="K11" s="118"/>
      <c r="M11" s="132" t="s">
        <v>97</v>
      </c>
      <c r="N11" s="136">
        <v>3.4819598214312325E-2</v>
      </c>
      <c r="O11" s="267">
        <v>3.1793595938368446E-2</v>
      </c>
    </row>
    <row r="12" spans="1:22">
      <c r="A12" s="5" t="s">
        <v>79</v>
      </c>
      <c r="B12" s="8">
        <f t="shared" ref="B12:J12" si="4">B4*B10</f>
        <v>2363529.5031373487</v>
      </c>
      <c r="C12" s="8">
        <f t="shared" si="4"/>
        <v>2416326.4999521379</v>
      </c>
      <c r="D12" s="8">
        <f t="shared" si="4"/>
        <v>2404986.6815837137</v>
      </c>
      <c r="E12" s="8">
        <f t="shared" si="4"/>
        <v>2400597.40829542</v>
      </c>
      <c r="F12" s="8">
        <f t="shared" si="4"/>
        <v>2390140.8351961081</v>
      </c>
      <c r="G12" s="8">
        <f t="shared" si="4"/>
        <v>2383352.5385280387</v>
      </c>
      <c r="H12" s="8">
        <f t="shared" si="4"/>
        <v>2376374.9921398726</v>
      </c>
      <c r="I12" s="8">
        <f t="shared" si="4"/>
        <v>2381937.8828916429</v>
      </c>
      <c r="J12" s="60">
        <f t="shared" si="4"/>
        <v>2401590.1026233262</v>
      </c>
      <c r="K12" s="67"/>
      <c r="M12" s="132" t="s">
        <v>99</v>
      </c>
      <c r="N12" s="136">
        <v>5.040353227095766E-2</v>
      </c>
      <c r="O12" s="267">
        <v>4.531287271981721E-2</v>
      </c>
    </row>
    <row r="13" spans="1:22">
      <c r="A13" s="98" t="s">
        <v>80</v>
      </c>
      <c r="B13" s="8">
        <f t="shared" ref="B13:J13" si="5">B4*B11</f>
        <v>194103.36144931792</v>
      </c>
      <c r="C13" s="8">
        <f t="shared" si="5"/>
        <v>198439.28132786235</v>
      </c>
      <c r="D13" s="8">
        <f t="shared" si="5"/>
        <v>197508.00593628627</v>
      </c>
      <c r="E13" s="8">
        <f t="shared" si="5"/>
        <v>197147.53965124662</v>
      </c>
      <c r="F13" s="8">
        <f t="shared" si="5"/>
        <v>196288.80021722527</v>
      </c>
      <c r="G13" s="8">
        <f t="shared" si="5"/>
        <v>195731.31565862827</v>
      </c>
      <c r="H13" s="8">
        <f t="shared" si="5"/>
        <v>195158.28908679416</v>
      </c>
      <c r="I13" s="8">
        <f t="shared" si="5"/>
        <v>195615.13796169104</v>
      </c>
      <c r="J13" s="303">
        <f t="shared" si="5"/>
        <v>197229.06404334013</v>
      </c>
      <c r="K13" s="118"/>
      <c r="M13" s="132" t="s">
        <v>100</v>
      </c>
      <c r="N13" s="136">
        <v>8.7331548599425005E-2</v>
      </c>
      <c r="O13" s="267">
        <v>9.6005067839524547E-2</v>
      </c>
    </row>
    <row r="14" spans="1:22">
      <c r="A14" s="307" t="s">
        <v>4</v>
      </c>
      <c r="B14" s="300" t="s">
        <v>292</v>
      </c>
      <c r="C14" s="300" t="s">
        <v>293</v>
      </c>
      <c r="D14" s="300" t="s">
        <v>294</v>
      </c>
      <c r="E14" s="300" t="s">
        <v>295</v>
      </c>
      <c r="F14" s="300" t="s">
        <v>296</v>
      </c>
      <c r="G14" s="300" t="s">
        <v>297</v>
      </c>
      <c r="H14" s="300" t="s">
        <v>298</v>
      </c>
      <c r="I14" s="300" t="s">
        <v>299</v>
      </c>
      <c r="J14" s="431" t="s">
        <v>306</v>
      </c>
      <c r="K14" s="432" t="s">
        <v>138</v>
      </c>
      <c r="M14" s="132" t="s">
        <v>101</v>
      </c>
      <c r="N14" s="136">
        <v>0.21377106406264809</v>
      </c>
      <c r="O14" s="267">
        <v>0.13597476068718117</v>
      </c>
    </row>
    <row r="15" spans="1:22">
      <c r="A15" s="99" t="s">
        <v>5</v>
      </c>
      <c r="B15" s="108">
        <v>0.02</v>
      </c>
      <c r="C15" s="101">
        <v>0.04</v>
      </c>
      <c r="D15" s="101">
        <v>0.06</v>
      </c>
      <c r="E15" s="101">
        <v>0.08</v>
      </c>
      <c r="F15" s="101">
        <v>0.1</v>
      </c>
      <c r="G15" s="101">
        <v>0.12</v>
      </c>
      <c r="H15" s="101">
        <v>0.14000000000000001</v>
      </c>
      <c r="I15" s="101">
        <v>0.16</v>
      </c>
      <c r="J15" s="123">
        <v>0.16</v>
      </c>
      <c r="K15" s="433" t="s">
        <v>198</v>
      </c>
      <c r="M15" s="132" t="s">
        <v>102</v>
      </c>
      <c r="N15" s="136">
        <v>5.8483119242757786E-2</v>
      </c>
      <c r="O15" s="267">
        <v>4.8143818346341356E-2</v>
      </c>
    </row>
    <row r="16" spans="1:22">
      <c r="A16" s="10" t="s">
        <v>238</v>
      </c>
      <c r="B16" s="108">
        <v>2.5000000000000001E-2</v>
      </c>
      <c r="C16" s="101">
        <v>0.03</v>
      </c>
      <c r="D16" s="101">
        <v>3.5000000000000003E-2</v>
      </c>
      <c r="E16" s="101">
        <v>0.04</v>
      </c>
      <c r="F16" s="101">
        <v>4.4999999999999998E-2</v>
      </c>
      <c r="G16" s="101">
        <v>0.05</v>
      </c>
      <c r="H16" s="101">
        <v>5.5E-2</v>
      </c>
      <c r="I16" s="101">
        <v>0.06</v>
      </c>
      <c r="J16" s="123">
        <v>0.06</v>
      </c>
      <c r="K16" s="434" t="s">
        <v>198</v>
      </c>
      <c r="M16" s="132" t="s">
        <v>110</v>
      </c>
      <c r="N16" s="137"/>
      <c r="O16" s="268"/>
    </row>
    <row r="17" spans="1:15">
      <c r="A17" s="10" t="s">
        <v>6</v>
      </c>
      <c r="B17" s="108">
        <v>4.4999999999999998E-2</v>
      </c>
      <c r="C17" s="101">
        <v>7.0000000000000007E-2</v>
      </c>
      <c r="D17" s="101">
        <v>9.5000000000000001E-2</v>
      </c>
      <c r="E17" s="101">
        <v>0.12</v>
      </c>
      <c r="F17" s="101">
        <v>0.14500000000000002</v>
      </c>
      <c r="G17" s="101">
        <v>0.16999999999999998</v>
      </c>
      <c r="H17" s="101">
        <v>0.19500000000000001</v>
      </c>
      <c r="I17" s="102">
        <v>0.22</v>
      </c>
      <c r="J17" s="123">
        <v>0.22</v>
      </c>
      <c r="K17" s="434" t="s">
        <v>198</v>
      </c>
      <c r="M17" s="291" t="s">
        <v>301</v>
      </c>
      <c r="N17" s="271" t="s">
        <v>83</v>
      </c>
      <c r="O17" s="293" t="s">
        <v>104</v>
      </c>
    </row>
    <row r="18" spans="1:15">
      <c r="A18" s="10" t="s">
        <v>246</v>
      </c>
      <c r="B18" s="194">
        <f t="shared" ref="B18:I18" si="6">B15*B8</f>
        <v>35961.09310682318</v>
      </c>
      <c r="C18" s="194">
        <f t="shared" si="6"/>
        <v>73528.798456647375</v>
      </c>
      <c r="D18" s="194">
        <f t="shared" si="6"/>
        <v>109775.59179477158</v>
      </c>
      <c r="E18" s="194">
        <f t="shared" si="6"/>
        <v>146100.32461556856</v>
      </c>
      <c r="F18" s="194">
        <f t="shared" si="6"/>
        <v>181829.92215416516</v>
      </c>
      <c r="G18" s="194">
        <f t="shared" si="6"/>
        <v>217576.2031249149</v>
      </c>
      <c r="H18" s="194">
        <f t="shared" si="6"/>
        <v>253095.76023884086</v>
      </c>
      <c r="I18" s="195">
        <f t="shared" si="6"/>
        <v>289929.41232215444</v>
      </c>
      <c r="J18" s="124">
        <f t="shared" ref="J18" si="7">J15*J8</f>
        <v>292321.47995689727</v>
      </c>
      <c r="K18" s="434">
        <f>SUM(B18:I18)</f>
        <v>1307797.105813886</v>
      </c>
      <c r="M18" s="132" t="s">
        <v>92</v>
      </c>
      <c r="N18" s="136">
        <v>0.39710302630288002</v>
      </c>
      <c r="O18" s="267">
        <v>0.5347154985476863</v>
      </c>
    </row>
    <row r="19" spans="1:15">
      <c r="A19" s="11" t="s">
        <v>247</v>
      </c>
      <c r="B19" s="194">
        <f t="shared" ref="B19:I19" si="8">B16*B8</f>
        <v>44951.366383528977</v>
      </c>
      <c r="C19" s="194">
        <f t="shared" si="8"/>
        <v>55146.598842485524</v>
      </c>
      <c r="D19" s="194">
        <f t="shared" si="8"/>
        <v>64035.761880283433</v>
      </c>
      <c r="E19" s="194">
        <f t="shared" si="8"/>
        <v>73050.162307784281</v>
      </c>
      <c r="F19" s="194">
        <f t="shared" si="8"/>
        <v>81823.464969374312</v>
      </c>
      <c r="G19" s="194">
        <f t="shared" si="8"/>
        <v>90656.75130204788</v>
      </c>
      <c r="H19" s="194">
        <f t="shared" si="8"/>
        <v>99430.477236687468</v>
      </c>
      <c r="I19" s="194">
        <f t="shared" si="8"/>
        <v>108723.52962080791</v>
      </c>
      <c r="J19" s="124">
        <f t="shared" ref="J19" si="9">J16*J8</f>
        <v>109620.55498383645</v>
      </c>
      <c r="K19" s="434">
        <f>SUM(B19:I19)</f>
        <v>617818.11254299968</v>
      </c>
      <c r="M19" s="132" t="s">
        <v>96</v>
      </c>
      <c r="N19" s="136">
        <v>0.10267845197427687</v>
      </c>
      <c r="O19" s="267">
        <v>8.0801453113872601E-2</v>
      </c>
    </row>
    <row r="20" spans="1:15">
      <c r="A20" s="11" t="s">
        <v>248</v>
      </c>
      <c r="B20" s="12">
        <f>SUM(B18:B19)</f>
        <v>80912.459490352165</v>
      </c>
      <c r="C20" s="12">
        <f t="shared" ref="C20:J20" si="10">SUM(C18:C19)</f>
        <v>128675.39729913289</v>
      </c>
      <c r="D20" s="12">
        <f t="shared" si="10"/>
        <v>173811.35367505503</v>
      </c>
      <c r="E20" s="12">
        <f t="shared" si="10"/>
        <v>219150.48692335284</v>
      </c>
      <c r="F20" s="12">
        <f t="shared" si="10"/>
        <v>263653.38712353946</v>
      </c>
      <c r="G20" s="12">
        <f t="shared" si="10"/>
        <v>308232.95442696277</v>
      </c>
      <c r="H20" s="12">
        <f t="shared" si="10"/>
        <v>352526.23747552832</v>
      </c>
      <c r="I20" s="12">
        <f t="shared" si="10"/>
        <v>398652.94194296235</v>
      </c>
      <c r="J20" s="125">
        <f t="shared" si="10"/>
        <v>401942.03494073369</v>
      </c>
      <c r="K20" s="434">
        <f>SUM(B20:I20)</f>
        <v>1925615.2183568859</v>
      </c>
      <c r="M20" s="132" t="s">
        <v>98</v>
      </c>
      <c r="N20" s="136">
        <v>0.37980859280929741</v>
      </c>
      <c r="O20" s="267">
        <v>0.27645971529850449</v>
      </c>
    </row>
    <row r="21" spans="1:15">
      <c r="A21" s="11" t="s">
        <v>250</v>
      </c>
      <c r="B21" s="12">
        <f t="shared" ref="B21:I21" si="11">B9*B17</f>
        <v>5407.6496894478423</v>
      </c>
      <c r="C21" s="12">
        <f t="shared" si="11"/>
        <v>8599.8062180671132</v>
      </c>
      <c r="D21" s="12">
        <f t="shared" si="11"/>
        <v>11616.39281074497</v>
      </c>
      <c r="E21" s="12">
        <f t="shared" si="11"/>
        <v>14646.558391847178</v>
      </c>
      <c r="F21" s="12">
        <f t="shared" si="11"/>
        <v>17620.835727660502</v>
      </c>
      <c r="G21" s="12">
        <f t="shared" si="11"/>
        <v>20600.236981837192</v>
      </c>
      <c r="H21" s="12">
        <f t="shared" si="11"/>
        <v>23560.504903871639</v>
      </c>
      <c r="I21" s="12">
        <f t="shared" si="11"/>
        <v>26643.306497837697</v>
      </c>
      <c r="J21" s="125">
        <f t="shared" ref="J21" si="12">J9*J17</f>
        <v>26863.127559266242</v>
      </c>
      <c r="K21" s="434">
        <f>SUM(B21:I21)</f>
        <v>128695.29122131412</v>
      </c>
      <c r="M21" s="132" t="s">
        <v>108</v>
      </c>
      <c r="N21" s="136">
        <v>4.0136642971181892E-2</v>
      </c>
      <c r="O21" s="267">
        <v>3.6007777679978877E-2</v>
      </c>
    </row>
    <row r="22" spans="1:15" ht="15" customHeight="1">
      <c r="A22" s="156" t="s">
        <v>249</v>
      </c>
      <c r="B22" s="157">
        <f>SUM(B20:B21)</f>
        <v>86320.109179800012</v>
      </c>
      <c r="C22" s="157">
        <f t="shared" ref="C22:J22" si="13">SUM(C20:C21)</f>
        <v>137275.20351720002</v>
      </c>
      <c r="D22" s="157">
        <f t="shared" si="13"/>
        <v>185427.74648579999</v>
      </c>
      <c r="E22" s="157">
        <f t="shared" si="13"/>
        <v>233797.04531520003</v>
      </c>
      <c r="F22" s="157">
        <f t="shared" si="13"/>
        <v>281274.22285119997</v>
      </c>
      <c r="G22" s="157">
        <f t="shared" si="13"/>
        <v>328833.19140879996</v>
      </c>
      <c r="H22" s="157">
        <f t="shared" si="13"/>
        <v>376086.74237939995</v>
      </c>
      <c r="I22" s="158">
        <f t="shared" si="13"/>
        <v>425296.24844080006</v>
      </c>
      <c r="J22" s="125">
        <f t="shared" si="13"/>
        <v>428805.16249999992</v>
      </c>
      <c r="K22" s="435">
        <f>SUM(B22:I22)</f>
        <v>2054310.5095781998</v>
      </c>
      <c r="M22" s="132" t="s">
        <v>141</v>
      </c>
      <c r="N22" s="136">
        <v>4.0136642971181892E-2</v>
      </c>
      <c r="O22" s="267">
        <v>3.6007777679978877E-2</v>
      </c>
    </row>
    <row r="23" spans="1:15" ht="15.75" thickBot="1">
      <c r="A23" s="428" t="s">
        <v>7</v>
      </c>
      <c r="B23" s="429" t="s">
        <v>292</v>
      </c>
      <c r="C23" s="429" t="s">
        <v>293</v>
      </c>
      <c r="D23" s="429" t="s">
        <v>294</v>
      </c>
      <c r="E23" s="429" t="s">
        <v>295</v>
      </c>
      <c r="F23" s="429" t="s">
        <v>296</v>
      </c>
      <c r="G23" s="429" t="s">
        <v>297</v>
      </c>
      <c r="H23" s="429" t="s">
        <v>298</v>
      </c>
      <c r="I23" s="429" t="s">
        <v>299</v>
      </c>
      <c r="J23" s="430" t="s">
        <v>306</v>
      </c>
      <c r="K23" s="432" t="s">
        <v>138</v>
      </c>
      <c r="M23" s="135" t="s">
        <v>109</v>
      </c>
      <c r="N23" s="138">
        <v>4.0136642971181892E-2</v>
      </c>
      <c r="O23" s="269">
        <v>3.6007777679978877E-2</v>
      </c>
    </row>
    <row r="24" spans="1:15" s="118" customFormat="1">
      <c r="A24" s="419" t="s">
        <v>137</v>
      </c>
      <c r="B24" s="306">
        <v>0.9</v>
      </c>
      <c r="C24" s="36">
        <f>B24</f>
        <v>0.9</v>
      </c>
      <c r="D24" s="36">
        <f>B24</f>
        <v>0.9</v>
      </c>
      <c r="E24" s="119"/>
      <c r="F24" s="119"/>
      <c r="G24" s="119"/>
      <c r="H24" s="119"/>
      <c r="I24" s="119"/>
      <c r="J24" s="422"/>
      <c r="K24" s="433"/>
    </row>
    <row r="25" spans="1:15">
      <c r="A25" s="420" t="s">
        <v>256</v>
      </c>
      <c r="B25" s="13">
        <v>0.625</v>
      </c>
      <c r="C25" s="13">
        <v>0.75</v>
      </c>
      <c r="D25" s="13">
        <v>0.875</v>
      </c>
      <c r="E25" s="196"/>
      <c r="F25" s="196"/>
      <c r="G25" s="196"/>
      <c r="H25" s="196"/>
      <c r="I25" s="196"/>
      <c r="J25" s="423"/>
      <c r="K25" s="434"/>
    </row>
    <row r="26" spans="1:15">
      <c r="A26" s="421" t="s">
        <v>8</v>
      </c>
      <c r="B26" s="193">
        <f>B25*B15</f>
        <v>1.2500000000000001E-2</v>
      </c>
      <c r="C26" s="13">
        <f>C25*C15</f>
        <v>0.03</v>
      </c>
      <c r="D26" s="13">
        <f>D25*D15</f>
        <v>5.2499999999999998E-2</v>
      </c>
      <c r="E26" s="13">
        <f t="shared" ref="E26:J26" si="14">E15</f>
        <v>0.08</v>
      </c>
      <c r="F26" s="13">
        <f t="shared" si="14"/>
        <v>0.1</v>
      </c>
      <c r="G26" s="13">
        <f t="shared" si="14"/>
        <v>0.12</v>
      </c>
      <c r="H26" s="13">
        <f t="shared" si="14"/>
        <v>0.14000000000000001</v>
      </c>
      <c r="I26" s="13">
        <f t="shared" si="14"/>
        <v>0.16</v>
      </c>
      <c r="J26" s="424">
        <f t="shared" si="14"/>
        <v>0.16</v>
      </c>
      <c r="K26" s="434" t="s">
        <v>198</v>
      </c>
    </row>
    <row r="27" spans="1:15">
      <c r="A27" s="420" t="s">
        <v>255</v>
      </c>
      <c r="B27" s="13">
        <v>0.9</v>
      </c>
      <c r="C27" s="13">
        <v>1</v>
      </c>
      <c r="D27" s="13">
        <v>1</v>
      </c>
      <c r="E27" s="196"/>
      <c r="F27" s="196"/>
      <c r="G27" s="196"/>
      <c r="H27" s="196"/>
      <c r="I27" s="196"/>
      <c r="J27" s="423"/>
      <c r="K27" s="434" t="s">
        <v>198</v>
      </c>
    </row>
    <row r="28" spans="1:15">
      <c r="A28" s="421" t="s">
        <v>239</v>
      </c>
      <c r="B28" s="14">
        <f>B27*B16</f>
        <v>2.2500000000000003E-2</v>
      </c>
      <c r="C28" s="14">
        <f>C27*C16</f>
        <v>0.03</v>
      </c>
      <c r="D28" s="14">
        <f>D27*D16</f>
        <v>3.5000000000000003E-2</v>
      </c>
      <c r="E28" s="14">
        <f t="shared" ref="E28:J28" si="15">E16</f>
        <v>0.04</v>
      </c>
      <c r="F28" s="14">
        <f t="shared" si="15"/>
        <v>4.4999999999999998E-2</v>
      </c>
      <c r="G28" s="14">
        <f t="shared" si="15"/>
        <v>0.05</v>
      </c>
      <c r="H28" s="14">
        <f t="shared" si="15"/>
        <v>5.5E-2</v>
      </c>
      <c r="I28" s="14">
        <f t="shared" si="15"/>
        <v>0.06</v>
      </c>
      <c r="J28" s="425">
        <f t="shared" si="15"/>
        <v>0.06</v>
      </c>
      <c r="K28" s="434" t="s">
        <v>198</v>
      </c>
    </row>
    <row r="29" spans="1:15">
      <c r="A29" s="421" t="s">
        <v>9</v>
      </c>
      <c r="B29" s="15">
        <f>B26+B28</f>
        <v>3.5000000000000003E-2</v>
      </c>
      <c r="C29" s="15">
        <f t="shared" ref="C29:J29" si="16">C26+C28</f>
        <v>0.06</v>
      </c>
      <c r="D29" s="15">
        <f t="shared" si="16"/>
        <v>8.7499999999999994E-2</v>
      </c>
      <c r="E29" s="15">
        <f t="shared" si="16"/>
        <v>0.12</v>
      </c>
      <c r="F29" s="15">
        <f t="shared" si="16"/>
        <v>0.14500000000000002</v>
      </c>
      <c r="G29" s="15">
        <f t="shared" si="16"/>
        <v>0.16999999999999998</v>
      </c>
      <c r="H29" s="15">
        <f t="shared" si="16"/>
        <v>0.19500000000000001</v>
      </c>
      <c r="I29" s="15">
        <f t="shared" si="16"/>
        <v>0.22</v>
      </c>
      <c r="J29" s="426">
        <f t="shared" si="16"/>
        <v>0.22</v>
      </c>
      <c r="K29" s="434" t="s">
        <v>198</v>
      </c>
    </row>
    <row r="30" spans="1:15">
      <c r="A30" s="343" t="s">
        <v>254</v>
      </c>
      <c r="B30" s="120">
        <f>(B26*B12)*B24+(((1-B24)*B12)*B15)</f>
        <v>31316.765916569871</v>
      </c>
      <c r="C30" s="120">
        <f>(C26*C12)*C24+(((1-C24)*C12)*C15)</f>
        <v>74906.121498516266</v>
      </c>
      <c r="D30" s="120">
        <f>(D26*D12)*D24+(((1-D24)*D12)*D15)</f>
        <v>128065.54079433274</v>
      </c>
      <c r="E30" s="120">
        <f>E26*E12</f>
        <v>192047.79266363359</v>
      </c>
      <c r="F30" s="120">
        <f>F26*F12</f>
        <v>239014.08351961081</v>
      </c>
      <c r="G30" s="120">
        <f>G26*G12</f>
        <v>286002.30462336465</v>
      </c>
      <c r="H30" s="120">
        <f>H26*H12</f>
        <v>332692.49889958219</v>
      </c>
      <c r="I30" s="120">
        <f>I26*I12</f>
        <v>381110.06126266287</v>
      </c>
      <c r="J30" s="125">
        <f t="shared" ref="J30" si="17">J26*J12</f>
        <v>384254.41641973221</v>
      </c>
      <c r="K30" s="434">
        <f>SUM(B30:I30)</f>
        <v>1665155.1691782731</v>
      </c>
    </row>
    <row r="31" spans="1:15">
      <c r="A31" s="343" t="s">
        <v>253</v>
      </c>
      <c r="B31" s="120">
        <f>(B28*B12*B24)+(((1-B24)*B12)*B16)</f>
        <v>53770.296196374686</v>
      </c>
      <c r="C31" s="120">
        <f>(C28*C12*C24)+(((1-C24)*C12)*C16)</f>
        <v>72489.794998564132</v>
      </c>
      <c r="D31" s="120">
        <f>(D28*D12*D24)+(((1-D24)*D12)*D16)</f>
        <v>84174.533855429996</v>
      </c>
      <c r="E31" s="120">
        <f>E28*E12</f>
        <v>96023.896331816795</v>
      </c>
      <c r="F31" s="120">
        <f>F28*F12</f>
        <v>107556.33758382486</v>
      </c>
      <c r="G31" s="120">
        <f>G28*G12</f>
        <v>119167.62692640194</v>
      </c>
      <c r="H31" s="120">
        <f>H28*H12</f>
        <v>130700.624567693</v>
      </c>
      <c r="I31" s="120">
        <f>I28*I12</f>
        <v>142916.27297349856</v>
      </c>
      <c r="J31" s="125">
        <f t="shared" ref="J31" si="18">J28*J12</f>
        <v>144095.40615739956</v>
      </c>
      <c r="K31" s="434">
        <f>SUM(B31:I31)</f>
        <v>806799.38343360403</v>
      </c>
    </row>
    <row r="32" spans="1:15">
      <c r="A32" s="343" t="s">
        <v>252</v>
      </c>
      <c r="B32" s="120">
        <f>SUM(B30:B31)</f>
        <v>85087.06211294455</v>
      </c>
      <c r="C32" s="120">
        <f t="shared" ref="C32:J32" si="19">SUM(C30:C31)</f>
        <v>147395.91649708041</v>
      </c>
      <c r="D32" s="120">
        <f t="shared" si="19"/>
        <v>212240.07464976274</v>
      </c>
      <c r="E32" s="120">
        <f t="shared" si="19"/>
        <v>288071.68899545039</v>
      </c>
      <c r="F32" s="120">
        <f t="shared" si="19"/>
        <v>346570.42110343568</v>
      </c>
      <c r="G32" s="120">
        <f t="shared" si="19"/>
        <v>405169.93154976657</v>
      </c>
      <c r="H32" s="120">
        <f t="shared" si="19"/>
        <v>463393.12346727517</v>
      </c>
      <c r="I32" s="120">
        <f t="shared" si="19"/>
        <v>524026.33423616143</v>
      </c>
      <c r="J32" s="125">
        <f t="shared" si="19"/>
        <v>528349.8225771318</v>
      </c>
      <c r="K32" s="434">
        <f>SUM(B32:I32)</f>
        <v>2471954.5526118772</v>
      </c>
    </row>
    <row r="33" spans="1:12">
      <c r="A33" s="343" t="s">
        <v>251</v>
      </c>
      <c r="B33" s="120">
        <f t="shared" ref="B33:I33" si="20">B13*B17</f>
        <v>8734.6512652193069</v>
      </c>
      <c r="C33" s="120">
        <f t="shared" si="20"/>
        <v>13890.749692950365</v>
      </c>
      <c r="D33" s="120">
        <f t="shared" si="20"/>
        <v>18763.260563947195</v>
      </c>
      <c r="E33" s="120">
        <f t="shared" si="20"/>
        <v>23657.704758149594</v>
      </c>
      <c r="F33" s="120">
        <f t="shared" si="20"/>
        <v>28461.876031497668</v>
      </c>
      <c r="G33" s="120">
        <f t="shared" si="20"/>
        <v>33274.323661966802</v>
      </c>
      <c r="H33" s="120">
        <f t="shared" si="20"/>
        <v>38055.866371924865</v>
      </c>
      <c r="I33" s="120">
        <f t="shared" si="20"/>
        <v>43035.330351572033</v>
      </c>
      <c r="J33" s="125">
        <f t="shared" ref="J33" si="21">J13*J17</f>
        <v>43390.394089534828</v>
      </c>
      <c r="K33" s="434">
        <f>SUM(B33:I33)</f>
        <v>207873.76269722782</v>
      </c>
    </row>
    <row r="34" spans="1:12">
      <c r="A34" s="345" t="s">
        <v>257</v>
      </c>
      <c r="B34" s="34">
        <f>SUM(B32:B33)</f>
        <v>93821.713378163855</v>
      </c>
      <c r="C34" s="34">
        <f t="shared" ref="C34:J34" si="22">SUM(C32:C33)</f>
        <v>161286.66619003078</v>
      </c>
      <c r="D34" s="34">
        <f t="shared" si="22"/>
        <v>231003.33521370994</v>
      </c>
      <c r="E34" s="34">
        <f t="shared" si="22"/>
        <v>311729.39375359996</v>
      </c>
      <c r="F34" s="34">
        <f t="shared" si="22"/>
        <v>375032.29713493335</v>
      </c>
      <c r="G34" s="34">
        <f t="shared" si="22"/>
        <v>438444.2552117334</v>
      </c>
      <c r="H34" s="34">
        <f t="shared" si="22"/>
        <v>501448.98983920005</v>
      </c>
      <c r="I34" s="34">
        <f t="shared" si="22"/>
        <v>567061.66458773345</v>
      </c>
      <c r="J34" s="427">
        <f t="shared" si="22"/>
        <v>571740.21666666667</v>
      </c>
      <c r="K34" s="435">
        <f>SUM(B34:I34)</f>
        <v>2679828.3153091045</v>
      </c>
      <c r="L34" s="110"/>
    </row>
    <row r="35" spans="1:12" ht="13.5" customHeight="1">
      <c r="A35" s="406" t="s">
        <v>311</v>
      </c>
      <c r="B35" s="387" t="s">
        <v>292</v>
      </c>
      <c r="C35" s="387" t="s">
        <v>293</v>
      </c>
      <c r="D35" s="387" t="s">
        <v>294</v>
      </c>
      <c r="E35" s="388" t="s">
        <v>295</v>
      </c>
      <c r="F35" s="282"/>
      <c r="G35" s="282"/>
      <c r="H35" s="282"/>
      <c r="I35" s="282"/>
    </row>
    <row r="36" spans="1:12" ht="15.75" thickBot="1">
      <c r="A36" s="416" t="s">
        <v>195</v>
      </c>
      <c r="B36" s="286">
        <v>0.1</v>
      </c>
      <c r="C36" s="395">
        <f>B36</f>
        <v>0.1</v>
      </c>
      <c r="D36" s="396">
        <f>C36</f>
        <v>0.1</v>
      </c>
      <c r="E36" s="417">
        <f>D36</f>
        <v>0.1</v>
      </c>
      <c r="L36" s="6"/>
    </row>
    <row r="37" spans="1:12" ht="15.75" thickBot="1">
      <c r="A37" s="416" t="s">
        <v>11</v>
      </c>
      <c r="B37" s="224">
        <v>0</v>
      </c>
      <c r="C37" s="397">
        <f>B37</f>
        <v>0</v>
      </c>
      <c r="D37" s="398">
        <f>B37</f>
        <v>0</v>
      </c>
      <c r="E37" s="418">
        <f>B37</f>
        <v>0</v>
      </c>
    </row>
    <row r="38" spans="1:12" s="118" customFormat="1">
      <c r="A38" s="410" t="s">
        <v>10</v>
      </c>
      <c r="B38" s="411" t="s">
        <v>292</v>
      </c>
      <c r="C38" s="411" t="s">
        <v>293</v>
      </c>
      <c r="D38" s="411" t="s">
        <v>294</v>
      </c>
      <c r="E38" s="412" t="s">
        <v>295</v>
      </c>
    </row>
    <row r="39" spans="1:12">
      <c r="A39" s="407" t="s">
        <v>259</v>
      </c>
      <c r="B39" s="197">
        <v>0.5</v>
      </c>
      <c r="C39" s="17">
        <v>0.5</v>
      </c>
      <c r="D39" s="17">
        <v>0.4</v>
      </c>
      <c r="E39" s="408">
        <v>0.3</v>
      </c>
    </row>
    <row r="40" spans="1:12">
      <c r="A40" s="407" t="s">
        <v>258</v>
      </c>
      <c r="B40" s="18">
        <f>B39*B20*(B36)</f>
        <v>4045.6229745176083</v>
      </c>
      <c r="C40" s="18">
        <f>C39*C20*(C36)</f>
        <v>6433.7698649566446</v>
      </c>
      <c r="D40" s="18">
        <f>D39*D20*(D36)</f>
        <v>6952.4541470022014</v>
      </c>
      <c r="E40" s="409">
        <f>E39*E20*(E36)</f>
        <v>6574.5146077005847</v>
      </c>
    </row>
    <row r="41" spans="1:12">
      <c r="A41" s="407" t="s">
        <v>260</v>
      </c>
      <c r="B41" s="18">
        <f>B39*B18*(B36)</f>
        <v>1798.0546553411591</v>
      </c>
      <c r="C41" s="18">
        <f>C39*C18*(C36)</f>
        <v>3676.4399228323691</v>
      </c>
      <c r="D41" s="18">
        <f>D39*D18*(D36)</f>
        <v>4391.0236717908638</v>
      </c>
      <c r="E41" s="409">
        <f>E39*E18*(E36)</f>
        <v>4383.0097384670571</v>
      </c>
    </row>
    <row r="42" spans="1:12">
      <c r="A42" s="407" t="s">
        <v>261</v>
      </c>
      <c r="B42" s="18">
        <f>B40-B41</f>
        <v>2247.5683191764492</v>
      </c>
      <c r="C42" s="18">
        <f>C40-C41</f>
        <v>2757.3299421242755</v>
      </c>
      <c r="D42" s="18">
        <f>D40-D41</f>
        <v>2561.4304752113376</v>
      </c>
      <c r="E42" s="409">
        <f>E40-E41</f>
        <v>2191.5048692335276</v>
      </c>
    </row>
    <row r="43" spans="1:12">
      <c r="A43" s="413" t="s">
        <v>262</v>
      </c>
      <c r="B43" s="414">
        <f>B21*B39*B37</f>
        <v>0</v>
      </c>
      <c r="C43" s="414">
        <f>C21*C39*C37</f>
        <v>0</v>
      </c>
      <c r="D43" s="414">
        <f>D21*D39*D37</f>
        <v>0</v>
      </c>
      <c r="E43" s="415">
        <f>E21*E39*E37</f>
        <v>0</v>
      </c>
    </row>
    <row r="44" spans="1:12">
      <c r="A44" s="394" t="s">
        <v>12</v>
      </c>
      <c r="B44" s="327" t="s">
        <v>292</v>
      </c>
      <c r="C44" s="327" t="s">
        <v>293</v>
      </c>
      <c r="D44" s="327" t="s">
        <v>294</v>
      </c>
      <c r="E44" s="328" t="s">
        <v>295</v>
      </c>
    </row>
    <row r="45" spans="1:12">
      <c r="A45" s="389" t="s">
        <v>259</v>
      </c>
      <c r="B45" s="19">
        <v>0.5</v>
      </c>
      <c r="C45" s="19">
        <v>0.5</v>
      </c>
      <c r="D45" s="19">
        <v>0.4</v>
      </c>
      <c r="E45" s="391">
        <v>0.3</v>
      </c>
    </row>
    <row r="46" spans="1:12">
      <c r="A46" s="389" t="s">
        <v>258</v>
      </c>
      <c r="B46" s="20">
        <f>B45*B32*(B36)</f>
        <v>4254.3531056472275</v>
      </c>
      <c r="C46" s="20">
        <f>C45*C32*(C36)</f>
        <v>7369.7958248540208</v>
      </c>
      <c r="D46" s="20">
        <f>D45*D32*(D36)</f>
        <v>8489.6029859905102</v>
      </c>
      <c r="E46" s="392">
        <f>E45*E32*(E36)</f>
        <v>8642.1506698635112</v>
      </c>
    </row>
    <row r="47" spans="1:12">
      <c r="A47" s="389" t="s">
        <v>260</v>
      </c>
      <c r="B47" s="20">
        <f>B45*B30*(B36)</f>
        <v>1565.8382958284938</v>
      </c>
      <c r="C47" s="20">
        <f>C45*C30*(C36)</f>
        <v>3745.3060749258134</v>
      </c>
      <c r="D47" s="20">
        <f>D45*D30*(D36)</f>
        <v>5122.6216317733106</v>
      </c>
      <c r="E47" s="392">
        <f>E45*E30*(E36)</f>
        <v>5761.4337799090081</v>
      </c>
    </row>
    <row r="48" spans="1:12">
      <c r="A48" s="389" t="s">
        <v>261</v>
      </c>
      <c r="B48" s="20">
        <f>B46-B47</f>
        <v>2688.5148098187337</v>
      </c>
      <c r="C48" s="20">
        <f>C46-C47</f>
        <v>3624.4897499282074</v>
      </c>
      <c r="D48" s="20">
        <f>D46-D47</f>
        <v>3366.9813542171996</v>
      </c>
      <c r="E48" s="392">
        <f>E46-E47</f>
        <v>2880.7168899545031</v>
      </c>
    </row>
    <row r="49" spans="1:12">
      <c r="A49" s="390" t="s">
        <v>262</v>
      </c>
      <c r="B49" s="155">
        <f>B33*B45*(B37)</f>
        <v>0</v>
      </c>
      <c r="C49" s="155">
        <f>C33*C45*(C37)</f>
        <v>0</v>
      </c>
      <c r="D49" s="155">
        <f>D33*D45*(D37)</f>
        <v>0</v>
      </c>
      <c r="E49" s="393">
        <f>E33*E45*(E37)</f>
        <v>0</v>
      </c>
    </row>
    <row r="50" spans="1:12">
      <c r="A50" s="386" t="s">
        <v>312</v>
      </c>
      <c r="B50" s="387" t="s">
        <v>292</v>
      </c>
      <c r="C50" s="387" t="s">
        <v>293</v>
      </c>
      <c r="D50" s="387" t="s">
        <v>294</v>
      </c>
      <c r="E50" s="387" t="s">
        <v>295</v>
      </c>
      <c r="F50" s="387" t="s">
        <v>296</v>
      </c>
      <c r="G50" s="387" t="s">
        <v>297</v>
      </c>
      <c r="H50" s="387" t="s">
        <v>298</v>
      </c>
      <c r="I50" s="388" t="s">
        <v>299</v>
      </c>
    </row>
    <row r="51" spans="1:12" ht="15.75" thickBot="1">
      <c r="A51" s="382" t="s">
        <v>194</v>
      </c>
      <c r="B51" s="287">
        <v>0.75</v>
      </c>
      <c r="C51" s="362">
        <f t="shared" ref="C51:I51" si="23">$B$51</f>
        <v>0.75</v>
      </c>
      <c r="D51" s="363">
        <f t="shared" si="23"/>
        <v>0.75</v>
      </c>
      <c r="E51" s="363">
        <f t="shared" si="23"/>
        <v>0.75</v>
      </c>
      <c r="F51" s="363">
        <f t="shared" si="23"/>
        <v>0.75</v>
      </c>
      <c r="G51" s="363">
        <f t="shared" si="23"/>
        <v>0.75</v>
      </c>
      <c r="H51" s="363">
        <f t="shared" si="23"/>
        <v>0.75</v>
      </c>
      <c r="I51" s="384">
        <f t="shared" si="23"/>
        <v>0.75</v>
      </c>
    </row>
    <row r="52" spans="1:12" ht="15.75" thickBot="1">
      <c r="A52" s="383" t="s">
        <v>117</v>
      </c>
      <c r="B52" s="225">
        <v>0.75</v>
      </c>
      <c r="C52" s="364">
        <f t="shared" ref="C52:I52" si="24">$B$52</f>
        <v>0.75</v>
      </c>
      <c r="D52" s="365">
        <f t="shared" si="24"/>
        <v>0.75</v>
      </c>
      <c r="E52" s="365">
        <f t="shared" si="24"/>
        <v>0.75</v>
      </c>
      <c r="F52" s="365">
        <f t="shared" si="24"/>
        <v>0.75</v>
      </c>
      <c r="G52" s="365">
        <f t="shared" si="24"/>
        <v>0.75</v>
      </c>
      <c r="H52" s="365">
        <f t="shared" si="24"/>
        <v>0.75</v>
      </c>
      <c r="I52" s="385">
        <f t="shared" si="24"/>
        <v>0.75</v>
      </c>
    </row>
    <row r="53" spans="1:12" s="118" customFormat="1">
      <c r="A53" s="379" t="s">
        <v>13</v>
      </c>
      <c r="B53" s="380" t="s">
        <v>292</v>
      </c>
      <c r="C53" s="380" t="s">
        <v>293</v>
      </c>
      <c r="D53" s="380" t="s">
        <v>294</v>
      </c>
      <c r="E53" s="380" t="s">
        <v>295</v>
      </c>
      <c r="F53" s="380" t="s">
        <v>296</v>
      </c>
      <c r="G53" s="380" t="s">
        <v>297</v>
      </c>
      <c r="H53" s="380" t="s">
        <v>298</v>
      </c>
      <c r="I53" s="381" t="s">
        <v>299</v>
      </c>
    </row>
    <row r="54" spans="1:12">
      <c r="A54" s="374" t="s">
        <v>263</v>
      </c>
      <c r="B54" s="221">
        <v>0.25</v>
      </c>
      <c r="C54" s="22">
        <v>0.25</v>
      </c>
      <c r="D54" s="22">
        <v>0.25</v>
      </c>
      <c r="E54" s="22">
        <v>0.25</v>
      </c>
      <c r="F54" s="22">
        <v>0.25</v>
      </c>
      <c r="G54" s="22">
        <v>0.25</v>
      </c>
      <c r="H54" s="22">
        <v>0.25</v>
      </c>
      <c r="I54" s="221">
        <v>0.25</v>
      </c>
    </row>
    <row r="55" spans="1:12">
      <c r="A55" s="375" t="s">
        <v>264</v>
      </c>
      <c r="B55" s="222">
        <f>B54*B19*B51</f>
        <v>8428.3811969116832</v>
      </c>
      <c r="C55" s="21">
        <f t="shared" ref="C55:I55" si="25">C54*C19*C51</f>
        <v>10339.987282966036</v>
      </c>
      <c r="D55" s="21">
        <f t="shared" si="25"/>
        <v>12006.705352553145</v>
      </c>
      <c r="E55" s="21">
        <f t="shared" si="25"/>
        <v>13696.905432709553</v>
      </c>
      <c r="F55" s="21">
        <f t="shared" si="25"/>
        <v>15341.899681757684</v>
      </c>
      <c r="G55" s="21">
        <f t="shared" si="25"/>
        <v>16998.140869133978</v>
      </c>
      <c r="H55" s="21">
        <f t="shared" si="25"/>
        <v>18643.214481878902</v>
      </c>
      <c r="I55" s="377">
        <f t="shared" si="25"/>
        <v>20385.661803901483</v>
      </c>
      <c r="J55" s="170">
        <f>SUM(B55:I55)</f>
        <v>115840.89610181245</v>
      </c>
    </row>
    <row r="56" spans="1:12" ht="15.75" customHeight="1">
      <c r="A56" s="375" t="s">
        <v>265</v>
      </c>
      <c r="B56" s="22">
        <v>1</v>
      </c>
      <c r="C56" s="22">
        <v>1</v>
      </c>
      <c r="D56" s="22">
        <v>0.25</v>
      </c>
      <c r="E56" s="22">
        <v>0.25</v>
      </c>
      <c r="F56" s="22">
        <v>0.25</v>
      </c>
      <c r="G56" s="22">
        <v>0.25</v>
      </c>
      <c r="H56" s="22">
        <v>0.25</v>
      </c>
      <c r="I56" s="221">
        <v>0.25</v>
      </c>
      <c r="J56" s="171"/>
    </row>
    <row r="57" spans="1:12">
      <c r="A57" s="376" t="s">
        <v>266</v>
      </c>
      <c r="B57" s="159">
        <f>B56*B21*B52</f>
        <v>4055.7372670858817</v>
      </c>
      <c r="C57" s="159">
        <f t="shared" ref="C57:I57" si="26">C56*C21*C52</f>
        <v>6449.8546635503353</v>
      </c>
      <c r="D57" s="159">
        <f t="shared" si="26"/>
        <v>2178.073652014682</v>
      </c>
      <c r="E57" s="159">
        <f t="shared" si="26"/>
        <v>2746.2296984713457</v>
      </c>
      <c r="F57" s="159">
        <f t="shared" si="26"/>
        <v>3303.9066989363441</v>
      </c>
      <c r="G57" s="159">
        <f t="shared" si="26"/>
        <v>3862.5444340944732</v>
      </c>
      <c r="H57" s="159">
        <f t="shared" si="26"/>
        <v>4417.5946694759323</v>
      </c>
      <c r="I57" s="378">
        <f t="shared" si="26"/>
        <v>4995.6199683445684</v>
      </c>
      <c r="J57" s="170">
        <f>SUM(B57:I57)</f>
        <v>32009.561051973564</v>
      </c>
    </row>
    <row r="58" spans="1:12">
      <c r="A58" s="371" t="s">
        <v>14</v>
      </c>
      <c r="B58" s="372" t="s">
        <v>292</v>
      </c>
      <c r="C58" s="372" t="s">
        <v>293</v>
      </c>
      <c r="D58" s="372" t="s">
        <v>294</v>
      </c>
      <c r="E58" s="372" t="s">
        <v>295</v>
      </c>
      <c r="F58" s="372" t="s">
        <v>296</v>
      </c>
      <c r="G58" s="372" t="s">
        <v>297</v>
      </c>
      <c r="H58" s="372" t="s">
        <v>298</v>
      </c>
      <c r="I58" s="373" t="s">
        <v>299</v>
      </c>
      <c r="J58" s="171"/>
    </row>
    <row r="59" spans="1:12">
      <c r="A59" s="366" t="s">
        <v>263</v>
      </c>
      <c r="B59" s="160">
        <f t="shared" ref="B59:I59" si="27">B54</f>
        <v>0.25</v>
      </c>
      <c r="C59" s="160">
        <f t="shared" si="27"/>
        <v>0.25</v>
      </c>
      <c r="D59" s="160">
        <f t="shared" si="27"/>
        <v>0.25</v>
      </c>
      <c r="E59" s="160">
        <f t="shared" si="27"/>
        <v>0.25</v>
      </c>
      <c r="F59" s="160">
        <f t="shared" si="27"/>
        <v>0.25</v>
      </c>
      <c r="G59" s="160">
        <f t="shared" si="27"/>
        <v>0.25</v>
      </c>
      <c r="H59" s="160">
        <f t="shared" si="27"/>
        <v>0.25</v>
      </c>
      <c r="I59" s="369">
        <f t="shared" si="27"/>
        <v>0.25</v>
      </c>
      <c r="J59" s="171"/>
    </row>
    <row r="60" spans="1:12">
      <c r="A60" s="367" t="s">
        <v>264</v>
      </c>
      <c r="B60" s="25">
        <f>B59*B31*B51</f>
        <v>10081.930536820253</v>
      </c>
      <c r="C60" s="25">
        <f t="shared" ref="C60:I60" si="28">C59*C31*C51</f>
        <v>13591.836562230776</v>
      </c>
      <c r="D60" s="25">
        <f t="shared" si="28"/>
        <v>15782.725097893124</v>
      </c>
      <c r="E60" s="25">
        <f t="shared" si="28"/>
        <v>18004.480562215649</v>
      </c>
      <c r="F60" s="25">
        <f t="shared" si="28"/>
        <v>20166.813296967161</v>
      </c>
      <c r="G60" s="25">
        <f t="shared" si="28"/>
        <v>22343.930048700364</v>
      </c>
      <c r="H60" s="25">
        <f t="shared" si="28"/>
        <v>24506.367106442438</v>
      </c>
      <c r="I60" s="308">
        <f t="shared" si="28"/>
        <v>26796.80118253098</v>
      </c>
      <c r="J60" s="171"/>
    </row>
    <row r="61" spans="1:12">
      <c r="A61" s="367" t="s">
        <v>265</v>
      </c>
      <c r="B61" s="26">
        <f>B56</f>
        <v>1</v>
      </c>
      <c r="C61" s="26">
        <f t="shared" ref="C61:I61" si="29">C56</f>
        <v>1</v>
      </c>
      <c r="D61" s="26">
        <f t="shared" si="29"/>
        <v>0.25</v>
      </c>
      <c r="E61" s="26">
        <f t="shared" si="29"/>
        <v>0.25</v>
      </c>
      <c r="F61" s="26">
        <f t="shared" si="29"/>
        <v>0.25</v>
      </c>
      <c r="G61" s="26">
        <f t="shared" si="29"/>
        <v>0.25</v>
      </c>
      <c r="H61" s="26">
        <f t="shared" si="29"/>
        <v>0.25</v>
      </c>
      <c r="I61" s="370">
        <f t="shared" si="29"/>
        <v>0.25</v>
      </c>
      <c r="J61" s="171"/>
      <c r="K61" s="301">
        <v>0</v>
      </c>
    </row>
    <row r="62" spans="1:12" ht="14.25" customHeight="1">
      <c r="A62" s="368" t="s">
        <v>266</v>
      </c>
      <c r="B62" s="59">
        <f>B33*B61*B52</f>
        <v>6550.9884489144806</v>
      </c>
      <c r="C62" s="59">
        <f t="shared" ref="C62:I62" si="30">C33*C61*C52</f>
        <v>10418.062269712773</v>
      </c>
      <c r="D62" s="59">
        <f t="shared" si="30"/>
        <v>3518.111355740099</v>
      </c>
      <c r="E62" s="59">
        <f t="shared" si="30"/>
        <v>4435.8196421530483</v>
      </c>
      <c r="F62" s="59">
        <f t="shared" si="30"/>
        <v>5336.6017559058128</v>
      </c>
      <c r="G62" s="59">
        <f t="shared" si="30"/>
        <v>6238.9356866187754</v>
      </c>
      <c r="H62" s="25">
        <f t="shared" si="30"/>
        <v>7135.4749447359118</v>
      </c>
      <c r="I62" s="308">
        <f t="shared" si="30"/>
        <v>8069.1244409197561</v>
      </c>
      <c r="J62" s="171"/>
      <c r="K62" s="301">
        <v>0.25</v>
      </c>
    </row>
    <row r="63" spans="1:12" ht="15.75" thickBot="1">
      <c r="A63" s="399" t="s">
        <v>309</v>
      </c>
      <c r="B63" s="400" t="s">
        <v>116</v>
      </c>
      <c r="C63" s="400" t="s">
        <v>106</v>
      </c>
      <c r="D63" s="400" t="s">
        <v>114</v>
      </c>
      <c r="E63" s="400" t="s">
        <v>15</v>
      </c>
      <c r="F63" s="400" t="s">
        <v>16</v>
      </c>
      <c r="G63" s="400" t="s">
        <v>115</v>
      </c>
      <c r="J63" s="171"/>
      <c r="K63" s="301">
        <v>0.5</v>
      </c>
    </row>
    <row r="64" spans="1:12" ht="15.75" thickBot="1">
      <c r="A64" s="401" t="s">
        <v>267</v>
      </c>
      <c r="B64" s="226">
        <v>662900</v>
      </c>
      <c r="C64" s="402">
        <f>IF(((B64-(J18*D64)-E64)&gt;0), (B64-(J18*D64)-E64), 0)</f>
        <v>304288.52004310273</v>
      </c>
      <c r="D64" s="227">
        <v>1</v>
      </c>
      <c r="E64" s="404">
        <f>B64*0.1</f>
        <v>66290</v>
      </c>
      <c r="F64" s="405">
        <f>IF((E64-(J21*G64)&gt;0), (E64-(J21*G64)), 0)</f>
        <v>39426.872440733758</v>
      </c>
      <c r="G64" s="223">
        <v>1</v>
      </c>
      <c r="I64" s="176"/>
      <c r="J64" s="171"/>
      <c r="K64" s="301">
        <v>0.75</v>
      </c>
      <c r="L64" s="27"/>
    </row>
    <row r="65" spans="1:12">
      <c r="A65" s="401" t="s">
        <v>270</v>
      </c>
      <c r="B65" s="288">
        <v>208000</v>
      </c>
      <c r="C65" s="403">
        <f>IF(((B65-(J19*D65)-E65)&gt;0), (B65-(J19*D65)-E65), 0)</f>
        <v>98379.445016163547</v>
      </c>
      <c r="D65" s="227">
        <v>1</v>
      </c>
      <c r="E65" s="111"/>
      <c r="F65" s="111"/>
      <c r="G65" s="112"/>
      <c r="J65" s="171"/>
      <c r="K65" s="301">
        <v>1</v>
      </c>
    </row>
    <row r="66" spans="1:12" s="118" customFormat="1">
      <c r="A66" s="359" t="s">
        <v>310</v>
      </c>
      <c r="B66" s="360" t="s">
        <v>292</v>
      </c>
      <c r="C66" s="360" t="s">
        <v>293</v>
      </c>
      <c r="D66" s="360" t="s">
        <v>294</v>
      </c>
      <c r="E66" s="360" t="s">
        <v>295</v>
      </c>
      <c r="F66" s="360" t="s">
        <v>296</v>
      </c>
      <c r="G66" s="360" t="s">
        <v>297</v>
      </c>
      <c r="H66" s="360" t="s">
        <v>298</v>
      </c>
      <c r="I66" s="361" t="s">
        <v>299</v>
      </c>
      <c r="J66" s="171"/>
      <c r="K66" s="301">
        <v>2</v>
      </c>
    </row>
    <row r="67" spans="1:12">
      <c r="A67" s="28" t="s">
        <v>17</v>
      </c>
      <c r="B67" s="29">
        <f>C64/K18</f>
        <v>0.23267257488976761</v>
      </c>
      <c r="C67" s="29">
        <f>$B$67</f>
        <v>0.23267257488976761</v>
      </c>
      <c r="D67" s="29">
        <f>$B$67</f>
        <v>0.23267257488976761</v>
      </c>
      <c r="E67" s="29">
        <f>$B$67</f>
        <v>0.23267257488976761</v>
      </c>
      <c r="F67" s="29">
        <f>$B$67</f>
        <v>0.23267257488976761</v>
      </c>
      <c r="G67" s="29">
        <f>$B$67</f>
        <v>0.23267257488976761</v>
      </c>
      <c r="H67" s="29">
        <f>G67</f>
        <v>0.23267257488976761</v>
      </c>
      <c r="I67" s="356">
        <f>H67</f>
        <v>0.23267257488976761</v>
      </c>
      <c r="J67" s="171"/>
    </row>
    <row r="68" spans="1:12">
      <c r="A68" s="28" t="s">
        <v>240</v>
      </c>
      <c r="B68" s="30">
        <f>C65/K19</f>
        <v>0.15923690649214564</v>
      </c>
      <c r="C68" s="30">
        <f>$B$68</f>
        <v>0.15923690649214564</v>
      </c>
      <c r="D68" s="30">
        <f>$B$68</f>
        <v>0.15923690649214564</v>
      </c>
      <c r="E68" s="30">
        <f>$B$68</f>
        <v>0.15923690649214564</v>
      </c>
      <c r="F68" s="30">
        <f>$B$68</f>
        <v>0.15923690649214564</v>
      </c>
      <c r="G68" s="30">
        <f>$B$68</f>
        <v>0.15923690649214564</v>
      </c>
      <c r="H68" s="29">
        <f>G68</f>
        <v>0.15923690649214564</v>
      </c>
      <c r="I68" s="356">
        <f>H68</f>
        <v>0.15923690649214564</v>
      </c>
      <c r="J68" s="171"/>
    </row>
    <row r="69" spans="1:12">
      <c r="A69" s="28" t="s">
        <v>18</v>
      </c>
      <c r="B69" s="31">
        <f t="shared" ref="B69:I70" si="31">B67*B18</f>
        <v>8367.160129015223</v>
      </c>
      <c r="C69" s="31">
        <f t="shared" si="31"/>
        <v>17108.134865458916</v>
      </c>
      <c r="D69" s="31">
        <f t="shared" si="31"/>
        <v>25541.769602937551</v>
      </c>
      <c r="E69" s="31">
        <f t="shared" si="31"/>
        <v>33993.538720535238</v>
      </c>
      <c r="F69" s="31">
        <f t="shared" si="31"/>
        <v>42306.83617961561</v>
      </c>
      <c r="G69" s="31">
        <f t="shared" si="31"/>
        <v>50624.015415813054</v>
      </c>
      <c r="H69" s="31">
        <f t="shared" si="31"/>
        <v>58888.442228454369</v>
      </c>
      <c r="I69" s="357">
        <f t="shared" si="31"/>
        <v>67458.6229012728</v>
      </c>
      <c r="J69" s="172">
        <f>SUM(B69:I69)</f>
        <v>304288.52004310273</v>
      </c>
    </row>
    <row r="70" spans="1:12">
      <c r="A70" s="28" t="s">
        <v>241</v>
      </c>
      <c r="B70" s="31">
        <f t="shared" si="31"/>
        <v>7157.9165255081825</v>
      </c>
      <c r="C70" s="31">
        <f t="shared" si="31"/>
        <v>8781.3738032407346</v>
      </c>
      <c r="D70" s="31">
        <f t="shared" si="31"/>
        <v>10196.856626683997</v>
      </c>
      <c r="E70" s="31">
        <f t="shared" si="31"/>
        <v>11632.281864640707</v>
      </c>
      <c r="F70" s="31">
        <f t="shared" si="31"/>
        <v>13029.315440191613</v>
      </c>
      <c r="G70" s="31">
        <f t="shared" si="31"/>
        <v>14435.900629965901</v>
      </c>
      <c r="H70" s="31">
        <f t="shared" si="31"/>
        <v>15833.001606207818</v>
      </c>
      <c r="I70" s="357">
        <f t="shared" si="31"/>
        <v>17312.798519724616</v>
      </c>
      <c r="J70" s="177"/>
    </row>
    <row r="71" spans="1:12">
      <c r="A71" s="28" t="s">
        <v>19</v>
      </c>
      <c r="B71" s="30">
        <f t="shared" ref="B71:I71" si="32">$F$64/$K$21</f>
        <v>0.30635831401890484</v>
      </c>
      <c r="C71" s="30">
        <f t="shared" si="32"/>
        <v>0.30635831401890484</v>
      </c>
      <c r="D71" s="30">
        <f t="shared" si="32"/>
        <v>0.30635831401890484</v>
      </c>
      <c r="E71" s="30">
        <f t="shared" si="32"/>
        <v>0.30635831401890484</v>
      </c>
      <c r="F71" s="30">
        <f t="shared" si="32"/>
        <v>0.30635831401890484</v>
      </c>
      <c r="G71" s="30">
        <f t="shared" si="32"/>
        <v>0.30635831401890484</v>
      </c>
      <c r="H71" s="30">
        <f t="shared" si="32"/>
        <v>0.30635831401890484</v>
      </c>
      <c r="I71" s="358">
        <f t="shared" si="32"/>
        <v>0.30635831401890484</v>
      </c>
      <c r="J71" s="172"/>
    </row>
    <row r="72" spans="1:12">
      <c r="A72" s="348" t="s">
        <v>20</v>
      </c>
      <c r="B72" s="349">
        <f t="shared" ref="B72:I72" si="33">B71*B21</f>
        <v>1656.6784416640953</v>
      </c>
      <c r="C72" s="349">
        <f t="shared" si="33"/>
        <v>2634.622133856335</v>
      </c>
      <c r="D72" s="349">
        <f t="shared" si="33"/>
        <v>3558.7785164811562</v>
      </c>
      <c r="E72" s="349">
        <f t="shared" si="33"/>
        <v>4487.0949351057434</v>
      </c>
      <c r="F72" s="349">
        <f t="shared" si="33"/>
        <v>5398.2895251301534</v>
      </c>
      <c r="G72" s="349">
        <f t="shared" si="33"/>
        <v>6311.0538701455353</v>
      </c>
      <c r="H72" s="31">
        <f t="shared" si="33"/>
        <v>7217.9565597842548</v>
      </c>
      <c r="I72" s="357">
        <f t="shared" si="33"/>
        <v>8162.3984585664894</v>
      </c>
      <c r="J72" s="172">
        <f>SUM(B72:I72)</f>
        <v>39426.872440733765</v>
      </c>
    </row>
    <row r="73" spans="1:12" ht="15.75" thickBot="1">
      <c r="A73" s="406" t="s">
        <v>308</v>
      </c>
      <c r="B73" s="400" t="s">
        <v>116</v>
      </c>
      <c r="C73" s="400" t="s">
        <v>106</v>
      </c>
      <c r="D73" s="400" t="s">
        <v>114</v>
      </c>
      <c r="E73" s="400" t="s">
        <v>15</v>
      </c>
      <c r="F73" s="400" t="s">
        <v>16</v>
      </c>
      <c r="G73" s="400" t="s">
        <v>115</v>
      </c>
      <c r="J73" s="68"/>
    </row>
    <row r="74" spans="1:12" ht="15.75" thickBot="1">
      <c r="A74" s="401" t="s">
        <v>267</v>
      </c>
      <c r="B74" s="226">
        <v>776600</v>
      </c>
      <c r="C74" s="402">
        <f>IF((B74-(J30*D74)-E74)&gt;0, (B74-(I30*D74)-E74), 0)</f>
        <v>379957.93873733713</v>
      </c>
      <c r="D74" s="227">
        <v>1</v>
      </c>
      <c r="E74" s="404">
        <f>B74*0.02</f>
        <v>15532</v>
      </c>
      <c r="F74" s="405">
        <f>IF((E74-(J33/2))&gt;0,(E74-(J33/2)),0)</f>
        <v>0</v>
      </c>
      <c r="G74" s="223">
        <v>1</v>
      </c>
      <c r="J74" s="67"/>
      <c r="L74" s="27"/>
    </row>
    <row r="75" spans="1:12">
      <c r="A75" s="401" t="s">
        <v>270</v>
      </c>
      <c r="B75" s="288">
        <v>45000</v>
      </c>
      <c r="C75" s="403">
        <f>IF((B75-(J31*D75)-E75)&gt;0, (B75-(I31*D75)-E75), 0)</f>
        <v>0</v>
      </c>
      <c r="D75" s="227">
        <v>1</v>
      </c>
      <c r="E75" s="111"/>
      <c r="F75" s="111"/>
      <c r="G75" s="118"/>
      <c r="L75" s="27"/>
    </row>
    <row r="76" spans="1:12" s="118" customFormat="1">
      <c r="A76" s="217" t="s">
        <v>307</v>
      </c>
      <c r="B76" s="289" t="s">
        <v>292</v>
      </c>
      <c r="C76" s="289" t="s">
        <v>293</v>
      </c>
      <c r="D76" s="289" t="s">
        <v>294</v>
      </c>
      <c r="E76" s="289" t="s">
        <v>295</v>
      </c>
      <c r="F76" s="289" t="s">
        <v>296</v>
      </c>
      <c r="G76" s="289" t="s">
        <v>297</v>
      </c>
      <c r="H76" s="289" t="s">
        <v>298</v>
      </c>
      <c r="I76" s="350" t="s">
        <v>299</v>
      </c>
      <c r="L76" s="27"/>
    </row>
    <row r="77" spans="1:12">
      <c r="A77" s="32" t="s">
        <v>17</v>
      </c>
      <c r="B77" s="116">
        <f>C74/K30</f>
        <v>0.22818170088307158</v>
      </c>
      <c r="C77" s="117">
        <f>$B$77</f>
        <v>0.22818170088307158</v>
      </c>
      <c r="D77" s="117">
        <f t="shared" ref="D77:I77" si="34">$B$77</f>
        <v>0.22818170088307158</v>
      </c>
      <c r="E77" s="117">
        <f t="shared" si="34"/>
        <v>0.22818170088307158</v>
      </c>
      <c r="F77" s="117">
        <f t="shared" si="34"/>
        <v>0.22818170088307158</v>
      </c>
      <c r="G77" s="117">
        <f t="shared" si="34"/>
        <v>0.22818170088307158</v>
      </c>
      <c r="H77" s="117">
        <f t="shared" si="34"/>
        <v>0.22818170088307158</v>
      </c>
      <c r="I77" s="351">
        <f t="shared" si="34"/>
        <v>0.22818170088307158</v>
      </c>
    </row>
    <row r="78" spans="1:12">
      <c r="A78" s="32" t="s">
        <v>240</v>
      </c>
      <c r="B78" s="113">
        <f>C75/K31</f>
        <v>0</v>
      </c>
      <c r="C78" s="114">
        <f>$B$78</f>
        <v>0</v>
      </c>
      <c r="D78" s="114">
        <f t="shared" ref="D78:I78" si="35">$B$78</f>
        <v>0</v>
      </c>
      <c r="E78" s="114">
        <f t="shared" si="35"/>
        <v>0</v>
      </c>
      <c r="F78" s="114">
        <f t="shared" si="35"/>
        <v>0</v>
      </c>
      <c r="G78" s="114">
        <f t="shared" si="35"/>
        <v>0</v>
      </c>
      <c r="H78" s="114">
        <f t="shared" si="35"/>
        <v>0</v>
      </c>
      <c r="I78" s="352">
        <f t="shared" si="35"/>
        <v>0</v>
      </c>
    </row>
    <row r="79" spans="1:12">
      <c r="A79" s="32" t="s">
        <v>18</v>
      </c>
      <c r="B79" s="115">
        <f t="shared" ref="B79:I80" si="36">B77*B30</f>
        <v>7145.9129129999174</v>
      </c>
      <c r="C79" s="115">
        <f t="shared" si="36"/>
        <v>17092.206210085456</v>
      </c>
      <c r="D79" s="115">
        <f t="shared" si="36"/>
        <v>29222.212922961236</v>
      </c>
      <c r="E79" s="115">
        <f t="shared" si="36"/>
        <v>43821.791980827387</v>
      </c>
      <c r="F79" s="115">
        <f t="shared" si="36"/>
        <v>54538.64011251332</v>
      </c>
      <c r="G79" s="115">
        <f t="shared" si="36"/>
        <v>65260.492325437714</v>
      </c>
      <c r="H79" s="115">
        <f t="shared" si="36"/>
        <v>75914.340269946086</v>
      </c>
      <c r="I79" s="353">
        <f t="shared" si="36"/>
        <v>86962.342002566016</v>
      </c>
      <c r="J79" s="23"/>
    </row>
    <row r="80" spans="1:12">
      <c r="A80" s="32" t="s">
        <v>241</v>
      </c>
      <c r="B80" s="115">
        <f t="shared" si="36"/>
        <v>0</v>
      </c>
      <c r="C80" s="115">
        <f t="shared" si="36"/>
        <v>0</v>
      </c>
      <c r="D80" s="115">
        <f t="shared" si="36"/>
        <v>0</v>
      </c>
      <c r="E80" s="115">
        <f t="shared" si="36"/>
        <v>0</v>
      </c>
      <c r="F80" s="115">
        <f t="shared" si="36"/>
        <v>0</v>
      </c>
      <c r="G80" s="115">
        <f t="shared" si="36"/>
        <v>0</v>
      </c>
      <c r="H80" s="115">
        <f t="shared" si="36"/>
        <v>0</v>
      </c>
      <c r="I80" s="353">
        <f t="shared" si="36"/>
        <v>0</v>
      </c>
      <c r="J80" s="23"/>
    </row>
    <row r="81" spans="1:12">
      <c r="A81" s="32" t="s">
        <v>19</v>
      </c>
      <c r="B81" s="113">
        <f>F74/K33</f>
        <v>0</v>
      </c>
      <c r="C81" s="113">
        <f>$B$81</f>
        <v>0</v>
      </c>
      <c r="D81" s="113">
        <f t="shared" ref="D81:I81" si="37">$B$81</f>
        <v>0</v>
      </c>
      <c r="E81" s="113">
        <f t="shared" si="37"/>
        <v>0</v>
      </c>
      <c r="F81" s="113">
        <f t="shared" si="37"/>
        <v>0</v>
      </c>
      <c r="G81" s="113">
        <f t="shared" si="37"/>
        <v>0</v>
      </c>
      <c r="H81" s="113">
        <f t="shared" si="37"/>
        <v>0</v>
      </c>
      <c r="I81" s="354">
        <f t="shared" si="37"/>
        <v>0</v>
      </c>
      <c r="J81" s="23"/>
    </row>
    <row r="82" spans="1:12">
      <c r="A82" s="33" t="s">
        <v>20</v>
      </c>
      <c r="B82" s="161">
        <f>B81*B33</f>
        <v>0</v>
      </c>
      <c r="C82" s="161">
        <f t="shared" ref="C82:I82" si="38">C81*C33</f>
        <v>0</v>
      </c>
      <c r="D82" s="161">
        <f t="shared" si="38"/>
        <v>0</v>
      </c>
      <c r="E82" s="161">
        <f t="shared" si="38"/>
        <v>0</v>
      </c>
      <c r="F82" s="161">
        <f t="shared" si="38"/>
        <v>0</v>
      </c>
      <c r="G82" s="161">
        <f t="shared" si="38"/>
        <v>0</v>
      </c>
      <c r="H82" s="161">
        <f t="shared" si="38"/>
        <v>0</v>
      </c>
      <c r="I82" s="355">
        <f t="shared" si="38"/>
        <v>0</v>
      </c>
      <c r="J82" s="23"/>
      <c r="K82" s="23"/>
    </row>
    <row r="83" spans="1:12">
      <c r="A83" s="346" t="s">
        <v>21</v>
      </c>
      <c r="B83" s="347" t="s">
        <v>292</v>
      </c>
      <c r="C83" s="347" t="s">
        <v>293</v>
      </c>
      <c r="D83" s="347" t="s">
        <v>294</v>
      </c>
      <c r="E83" s="347" t="s">
        <v>295</v>
      </c>
      <c r="F83" s="347" t="s">
        <v>296</v>
      </c>
      <c r="G83" s="347" t="s">
        <v>297</v>
      </c>
      <c r="H83" s="347" t="s">
        <v>298</v>
      </c>
      <c r="I83" s="347" t="s">
        <v>299</v>
      </c>
    </row>
    <row r="84" spans="1:12">
      <c r="A84" s="343" t="s">
        <v>22</v>
      </c>
      <c r="B84" s="16">
        <f>B18-B41-B69</f>
        <v>25795.878322466793</v>
      </c>
      <c r="C84" s="16">
        <f t="shared" ref="C84:I84" si="39">C18-C41-C69</f>
        <v>52744.223668356084</v>
      </c>
      <c r="D84" s="16">
        <f t="shared" si="39"/>
        <v>79842.798520043158</v>
      </c>
      <c r="E84" s="16">
        <f t="shared" si="39"/>
        <v>107723.77615656628</v>
      </c>
      <c r="F84" s="16">
        <f t="shared" si="39"/>
        <v>139523.08597454955</v>
      </c>
      <c r="G84" s="16">
        <f t="shared" si="39"/>
        <v>166952.18770910185</v>
      </c>
      <c r="H84" s="16">
        <f t="shared" si="39"/>
        <v>194207.31801038649</v>
      </c>
      <c r="I84" s="16">
        <f t="shared" si="39"/>
        <v>222470.78942088166</v>
      </c>
    </row>
    <row r="85" spans="1:12">
      <c r="A85" s="343" t="s">
        <v>242</v>
      </c>
      <c r="B85" s="16">
        <f>B19-B42-B55-B70</f>
        <v>27117.50034193266</v>
      </c>
      <c r="C85" s="120">
        <f>C19-C42-C55-C70</f>
        <v>33267.907814154474</v>
      </c>
      <c r="D85" s="120">
        <f>D19-D42-D55-D70</f>
        <v>39270.769425834951</v>
      </c>
      <c r="E85" s="120">
        <f>E19-E42-E55-E70</f>
        <v>45529.470141200494</v>
      </c>
      <c r="F85" s="120">
        <f>F19-F55-F70</f>
        <v>53452.249847425017</v>
      </c>
      <c r="G85" s="120">
        <f t="shared" ref="G85:I85" si="40">G19-G55-G70</f>
        <v>59222.709802948004</v>
      </c>
      <c r="H85" s="120">
        <f t="shared" si="40"/>
        <v>64954.261148600737</v>
      </c>
      <c r="I85" s="309">
        <f t="shared" si="40"/>
        <v>71025.069297181806</v>
      </c>
      <c r="J85" s="310"/>
    </row>
    <row r="86" spans="1:12">
      <c r="A86" s="343" t="s">
        <v>268</v>
      </c>
      <c r="B86" s="16">
        <f>SUM(B84:B85)</f>
        <v>52913.378664399454</v>
      </c>
      <c r="C86" s="16">
        <f t="shared" ref="C86:I86" si="41">SUM(C84:C85)</f>
        <v>86012.131482510566</v>
      </c>
      <c r="D86" s="16">
        <f t="shared" si="41"/>
        <v>119113.56794587811</v>
      </c>
      <c r="E86" s="16">
        <f t="shared" si="41"/>
        <v>153253.24629776677</v>
      </c>
      <c r="F86" s="16">
        <f t="shared" si="41"/>
        <v>192975.33582197456</v>
      </c>
      <c r="G86" s="16">
        <f t="shared" si="41"/>
        <v>226174.89751204985</v>
      </c>
      <c r="H86" s="16">
        <f t="shared" si="41"/>
        <v>259161.57915898721</v>
      </c>
      <c r="I86" s="16">
        <f t="shared" si="41"/>
        <v>293495.85871806345</v>
      </c>
    </row>
    <row r="87" spans="1:12" ht="15.75" thickBot="1">
      <c r="A87" s="343" t="s">
        <v>269</v>
      </c>
      <c r="B87" s="34">
        <f>IF((B21-B43-B57-B72&gt;0), (B21-B43-B57-B72), 0)</f>
        <v>0</v>
      </c>
      <c r="C87" s="34">
        <f>IF((C21-C43-C57-C72&gt;0), (C21-C43-C57-C72), 0)</f>
        <v>0</v>
      </c>
      <c r="D87" s="34">
        <f>IF((D21-D43-D57-D72&gt;0), (D21-D43-D57-D72), 0)</f>
        <v>5879.5406422491324</v>
      </c>
      <c r="E87" s="34">
        <f>IF((E21-E43-E57-E72&gt;0), (E21-E43-E57-E72), 0)</f>
        <v>7413.2337582700884</v>
      </c>
      <c r="F87" s="34">
        <f>IF((F21-F57-F72&gt;0), (F21-F57-F72), 0)</f>
        <v>8918.6395035940041</v>
      </c>
      <c r="G87" s="34">
        <f>IF((G21-G57-G72&gt;0), (G21-G57-G72), 0)</f>
        <v>10426.638677597182</v>
      </c>
      <c r="H87" s="34">
        <f>IF((H21-H57-H72&gt;0), (H21-H57-H72), 0)</f>
        <v>11924.95367461145</v>
      </c>
      <c r="I87" s="34">
        <f>IF((I21-I57-I72&gt;0), (I21-I57-I72), 0)</f>
        <v>13485.288070926637</v>
      </c>
    </row>
    <row r="88" spans="1:12" ht="15.75" thickBot="1">
      <c r="A88" s="344" t="s">
        <v>23</v>
      </c>
      <c r="B88" s="223">
        <v>0.1</v>
      </c>
      <c r="C88" s="35">
        <f t="shared" ref="C88:I88" si="42">$B$88</f>
        <v>0.1</v>
      </c>
      <c r="D88" s="36">
        <f t="shared" si="42"/>
        <v>0.1</v>
      </c>
      <c r="E88" s="36">
        <f t="shared" si="42"/>
        <v>0.1</v>
      </c>
      <c r="F88" s="36">
        <f t="shared" si="42"/>
        <v>0.1</v>
      </c>
      <c r="G88" s="36">
        <f t="shared" si="42"/>
        <v>0.1</v>
      </c>
      <c r="H88" s="36">
        <f t="shared" si="42"/>
        <v>0.1</v>
      </c>
      <c r="I88" s="36">
        <f t="shared" si="42"/>
        <v>0.1</v>
      </c>
      <c r="L88" s="6"/>
    </row>
    <row r="89" spans="1:12" ht="15.75" thickBot="1">
      <c r="A89" s="343" t="s">
        <v>231</v>
      </c>
      <c r="B89" s="37">
        <f>1-B88</f>
        <v>0.9</v>
      </c>
      <c r="C89" s="36">
        <f t="shared" ref="C89:I89" si="43">$B$89</f>
        <v>0.9</v>
      </c>
      <c r="D89" s="36">
        <f t="shared" si="43"/>
        <v>0.9</v>
      </c>
      <c r="E89" s="36">
        <f t="shared" si="43"/>
        <v>0.9</v>
      </c>
      <c r="F89" s="36">
        <f t="shared" si="43"/>
        <v>0.9</v>
      </c>
      <c r="G89" s="36">
        <f t="shared" si="43"/>
        <v>0.9</v>
      </c>
      <c r="H89" s="36">
        <f t="shared" si="43"/>
        <v>0.9</v>
      </c>
      <c r="I89" s="36">
        <f t="shared" si="43"/>
        <v>0.9</v>
      </c>
    </row>
    <row r="90" spans="1:12" ht="15.75" thickBot="1">
      <c r="A90" s="344" t="s">
        <v>24</v>
      </c>
      <c r="B90" s="223">
        <v>0.25</v>
      </c>
      <c r="C90" s="35">
        <f t="shared" ref="C90:I90" si="44">$B$90</f>
        <v>0.25</v>
      </c>
      <c r="D90" s="36">
        <f t="shared" si="44"/>
        <v>0.25</v>
      </c>
      <c r="E90" s="36">
        <f t="shared" si="44"/>
        <v>0.25</v>
      </c>
      <c r="F90" s="36">
        <f t="shared" si="44"/>
        <v>0.25</v>
      </c>
      <c r="G90" s="36">
        <f t="shared" si="44"/>
        <v>0.25</v>
      </c>
      <c r="H90" s="36">
        <f t="shared" si="44"/>
        <v>0.25</v>
      </c>
      <c r="I90" s="36">
        <f t="shared" si="44"/>
        <v>0.25</v>
      </c>
      <c r="L90" s="6"/>
    </row>
    <row r="91" spans="1:12">
      <c r="A91" s="343" t="s">
        <v>232</v>
      </c>
      <c r="B91" s="38">
        <f>1-B90</f>
        <v>0.75</v>
      </c>
      <c r="C91" s="36">
        <f t="shared" ref="C91:I91" si="45">$B$91</f>
        <v>0.75</v>
      </c>
      <c r="D91" s="36">
        <f t="shared" si="45"/>
        <v>0.75</v>
      </c>
      <c r="E91" s="36">
        <f t="shared" si="45"/>
        <v>0.75</v>
      </c>
      <c r="F91" s="36">
        <f t="shared" si="45"/>
        <v>0.75</v>
      </c>
      <c r="G91" s="36">
        <f t="shared" si="45"/>
        <v>0.75</v>
      </c>
      <c r="H91" s="36">
        <f t="shared" si="45"/>
        <v>0.75</v>
      </c>
      <c r="I91" s="36">
        <f t="shared" si="45"/>
        <v>0.75</v>
      </c>
    </row>
    <row r="92" spans="1:12">
      <c r="A92" s="343" t="s">
        <v>25</v>
      </c>
      <c r="B92" s="39">
        <f>B86*B88</f>
        <v>5291.3378664399461</v>
      </c>
      <c r="C92" s="39">
        <f t="shared" ref="C92:I92" si="46">C86*C88</f>
        <v>8601.2131482510576</v>
      </c>
      <c r="D92" s="39">
        <f t="shared" si="46"/>
        <v>11911.356794587811</v>
      </c>
      <c r="E92" s="39">
        <f t="shared" si="46"/>
        <v>15325.324629776678</v>
      </c>
      <c r="F92" s="39">
        <f t="shared" si="46"/>
        <v>19297.533582197455</v>
      </c>
      <c r="G92" s="39">
        <f t="shared" si="46"/>
        <v>22617.489751204987</v>
      </c>
      <c r="H92" s="39">
        <f t="shared" si="46"/>
        <v>25916.157915898722</v>
      </c>
      <c r="I92" s="39">
        <f t="shared" si="46"/>
        <v>29349.585871806346</v>
      </c>
    </row>
    <row r="93" spans="1:12">
      <c r="A93" s="343" t="s">
        <v>243</v>
      </c>
      <c r="B93" s="39">
        <f>B89*B84</f>
        <v>23216.290490220115</v>
      </c>
      <c r="C93" s="39">
        <f t="shared" ref="C93:I93" si="47">C89*C84</f>
        <v>47469.801301520478</v>
      </c>
      <c r="D93" s="39">
        <f t="shared" si="47"/>
        <v>71858.518668038843</v>
      </c>
      <c r="E93" s="39">
        <f t="shared" si="47"/>
        <v>96951.398540909649</v>
      </c>
      <c r="F93" s="39">
        <f t="shared" si="47"/>
        <v>125570.77737709461</v>
      </c>
      <c r="G93" s="39">
        <f t="shared" si="47"/>
        <v>150256.96893819168</v>
      </c>
      <c r="H93" s="39">
        <f t="shared" si="47"/>
        <v>174786.58620934785</v>
      </c>
      <c r="I93" s="39">
        <f t="shared" si="47"/>
        <v>200223.71047879351</v>
      </c>
    </row>
    <row r="94" spans="1:12">
      <c r="A94" s="343" t="s">
        <v>26</v>
      </c>
      <c r="B94" s="39">
        <f>SUM(B92:B93)</f>
        <v>28507.628356660061</v>
      </c>
      <c r="C94" s="39">
        <f t="shared" ref="C94:I94" si="48">SUM(C92:C93)</f>
        <v>56071.014449771537</v>
      </c>
      <c r="D94" s="39">
        <f t="shared" si="48"/>
        <v>83769.87546262666</v>
      </c>
      <c r="E94" s="39">
        <f t="shared" si="48"/>
        <v>112276.72317068632</v>
      </c>
      <c r="F94" s="39">
        <f t="shared" si="48"/>
        <v>144868.31095929205</v>
      </c>
      <c r="G94" s="39">
        <f t="shared" si="48"/>
        <v>172874.45868939668</v>
      </c>
      <c r="H94" s="39">
        <f t="shared" si="48"/>
        <v>200702.74412524657</v>
      </c>
      <c r="I94" s="39">
        <f t="shared" si="48"/>
        <v>229573.29635059985</v>
      </c>
    </row>
    <row r="95" spans="1:12">
      <c r="A95" s="343" t="s">
        <v>244</v>
      </c>
      <c r="B95" s="39">
        <f>B89*B85</f>
        <v>24405.750307739396</v>
      </c>
      <c r="C95" s="39">
        <f t="shared" ref="C95:I95" si="49">C89*C85</f>
        <v>29941.117032739028</v>
      </c>
      <c r="D95" s="39">
        <f t="shared" si="49"/>
        <v>35343.692483251456</v>
      </c>
      <c r="E95" s="39">
        <f t="shared" si="49"/>
        <v>40976.523127080443</v>
      </c>
      <c r="F95" s="39">
        <f t="shared" si="49"/>
        <v>48107.02486268252</v>
      </c>
      <c r="G95" s="39">
        <f t="shared" si="49"/>
        <v>53300.438822653203</v>
      </c>
      <c r="H95" s="39">
        <f t="shared" si="49"/>
        <v>58458.835033740666</v>
      </c>
      <c r="I95" s="39">
        <f t="shared" si="49"/>
        <v>63922.56236746363</v>
      </c>
    </row>
    <row r="96" spans="1:12">
      <c r="A96" s="343" t="s">
        <v>27</v>
      </c>
      <c r="B96" s="39">
        <f>B90*B87</f>
        <v>0</v>
      </c>
      <c r="C96" s="39">
        <f t="shared" ref="C96:I96" si="50">C90*C87</f>
        <v>0</v>
      </c>
      <c r="D96" s="39">
        <f t="shared" si="50"/>
        <v>1469.8851605622831</v>
      </c>
      <c r="E96" s="39">
        <f t="shared" si="50"/>
        <v>1853.3084395675221</v>
      </c>
      <c r="F96" s="39">
        <f t="shared" si="50"/>
        <v>2229.659875898501</v>
      </c>
      <c r="G96" s="39">
        <f t="shared" si="50"/>
        <v>2606.6596693992956</v>
      </c>
      <c r="H96" s="39">
        <f t="shared" si="50"/>
        <v>2981.2384186528625</v>
      </c>
      <c r="I96" s="39">
        <f t="shared" si="50"/>
        <v>3371.3220177316593</v>
      </c>
    </row>
    <row r="97" spans="1:12">
      <c r="A97" s="343" t="s">
        <v>245</v>
      </c>
      <c r="B97" s="40">
        <f>B87*B91</f>
        <v>0</v>
      </c>
      <c r="C97" s="40">
        <f t="shared" ref="C97:I97" si="51">C87*C91</f>
        <v>0</v>
      </c>
      <c r="D97" s="40">
        <f t="shared" si="51"/>
        <v>4409.6554816868493</v>
      </c>
      <c r="E97" s="40">
        <f t="shared" si="51"/>
        <v>5559.9253187025661</v>
      </c>
      <c r="F97" s="40">
        <f t="shared" si="51"/>
        <v>6688.979627695503</v>
      </c>
      <c r="G97" s="40">
        <f t="shared" si="51"/>
        <v>7819.9790081978863</v>
      </c>
      <c r="H97" s="40">
        <f t="shared" si="51"/>
        <v>8943.7152559585884</v>
      </c>
      <c r="I97" s="40">
        <f t="shared" si="51"/>
        <v>10113.966053194978</v>
      </c>
    </row>
    <row r="98" spans="1:12">
      <c r="A98" s="343" t="s">
        <v>233</v>
      </c>
      <c r="B98" s="40">
        <f>B94+B96</f>
        <v>28507.628356660061</v>
      </c>
      <c r="C98" s="40">
        <f t="shared" ref="C98:I99" si="52">C94+C96</f>
        <v>56071.014449771537</v>
      </c>
      <c r="D98" s="40">
        <f t="shared" si="52"/>
        <v>85239.760623188937</v>
      </c>
      <c r="E98" s="40">
        <f t="shared" si="52"/>
        <v>114130.03161025385</v>
      </c>
      <c r="F98" s="40">
        <f t="shared" si="52"/>
        <v>147097.97083519056</v>
      </c>
      <c r="G98" s="40">
        <f t="shared" si="52"/>
        <v>175481.11835879597</v>
      </c>
      <c r="H98" s="40">
        <f t="shared" si="52"/>
        <v>203683.98254389942</v>
      </c>
      <c r="I98" s="40">
        <f t="shared" si="52"/>
        <v>232944.61836833152</v>
      </c>
    </row>
    <row r="99" spans="1:12">
      <c r="A99" s="345" t="s">
        <v>234</v>
      </c>
      <c r="B99" s="342">
        <f>B95+B97</f>
        <v>24405.750307739396</v>
      </c>
      <c r="C99" s="342">
        <f t="shared" si="52"/>
        <v>29941.117032739028</v>
      </c>
      <c r="D99" s="342">
        <f t="shared" si="52"/>
        <v>39753.347964938308</v>
      </c>
      <c r="E99" s="342">
        <f t="shared" si="52"/>
        <v>46536.448445783011</v>
      </c>
      <c r="F99" s="342">
        <f t="shared" si="52"/>
        <v>54796.004490378022</v>
      </c>
      <c r="G99" s="342">
        <f t="shared" si="52"/>
        <v>61120.417830851089</v>
      </c>
      <c r="H99" s="342">
        <f t="shared" si="52"/>
        <v>67402.550289699255</v>
      </c>
      <c r="I99" s="342">
        <f t="shared" si="52"/>
        <v>74036.528420658608</v>
      </c>
    </row>
    <row r="100" spans="1:12">
      <c r="A100" s="216" t="s">
        <v>28</v>
      </c>
      <c r="B100" s="290" t="s">
        <v>292</v>
      </c>
      <c r="C100" s="290" t="s">
        <v>293</v>
      </c>
      <c r="D100" s="290" t="s">
        <v>294</v>
      </c>
      <c r="E100" s="290" t="s">
        <v>295</v>
      </c>
      <c r="F100" s="290" t="s">
        <v>296</v>
      </c>
      <c r="G100" s="290" t="s">
        <v>297</v>
      </c>
      <c r="H100" s="290" t="s">
        <v>298</v>
      </c>
      <c r="I100" s="335" t="s">
        <v>299</v>
      </c>
    </row>
    <row r="101" spans="1:12">
      <c r="A101" s="41" t="s">
        <v>22</v>
      </c>
      <c r="B101" s="42">
        <f>B30-B47-B79</f>
        <v>22605.014707741462</v>
      </c>
      <c r="C101" s="42">
        <f t="shared" ref="C101:I101" si="53">C30-C47-C79</f>
        <v>54068.609213504998</v>
      </c>
      <c r="D101" s="42">
        <f t="shared" si="53"/>
        <v>93720.706239598207</v>
      </c>
      <c r="E101" s="42">
        <f t="shared" si="53"/>
        <v>142464.5669028972</v>
      </c>
      <c r="F101" s="42">
        <f t="shared" si="53"/>
        <v>184475.44340709748</v>
      </c>
      <c r="G101" s="42">
        <f t="shared" si="53"/>
        <v>220741.81229792692</v>
      </c>
      <c r="H101" s="42">
        <f t="shared" si="53"/>
        <v>256778.15862963611</v>
      </c>
      <c r="I101" s="336">
        <f t="shared" si="53"/>
        <v>294147.71926009684</v>
      </c>
    </row>
    <row r="102" spans="1:12">
      <c r="A102" s="41" t="s">
        <v>242</v>
      </c>
      <c r="B102" s="42">
        <f>B31-B48-B60-B80</f>
        <v>40999.850849735696</v>
      </c>
      <c r="C102" s="42">
        <f t="shared" ref="C102:E102" si="54">C31-C48-C60-C80</f>
        <v>55273.468686405147</v>
      </c>
      <c r="D102" s="42">
        <f t="shared" si="54"/>
        <v>65024.827403319665</v>
      </c>
      <c r="E102" s="42">
        <f t="shared" si="54"/>
        <v>75138.698879646632</v>
      </c>
      <c r="F102" s="42">
        <f>F31-F60-F80</f>
        <v>87389.524286857704</v>
      </c>
      <c r="G102" s="42">
        <f t="shared" ref="G102:I102" si="55">G31-G60-G80</f>
        <v>96823.696877701572</v>
      </c>
      <c r="H102" s="42">
        <f t="shared" si="55"/>
        <v>106194.25746125056</v>
      </c>
      <c r="I102" s="336">
        <f t="shared" si="55"/>
        <v>116119.47179096758</v>
      </c>
    </row>
    <row r="103" spans="1:12">
      <c r="A103" s="41" t="s">
        <v>268</v>
      </c>
      <c r="B103" s="42">
        <f>SUM(B101:B102)</f>
        <v>63604.865557477155</v>
      </c>
      <c r="C103" s="42">
        <f t="shared" ref="C103:I103" si="56">SUM(C101:C102)</f>
        <v>109342.07789991015</v>
      </c>
      <c r="D103" s="42">
        <f t="shared" si="56"/>
        <v>158745.53364291787</v>
      </c>
      <c r="E103" s="42">
        <f t="shared" si="56"/>
        <v>217603.26578254384</v>
      </c>
      <c r="F103" s="42">
        <f t="shared" si="56"/>
        <v>271864.96769395517</v>
      </c>
      <c r="G103" s="42">
        <f t="shared" si="56"/>
        <v>317565.50917562848</v>
      </c>
      <c r="H103" s="42">
        <f t="shared" si="56"/>
        <v>362972.41609088669</v>
      </c>
      <c r="I103" s="336">
        <f t="shared" si="56"/>
        <v>410267.19105106441</v>
      </c>
    </row>
    <row r="104" spans="1:12" ht="15.75" thickBot="1">
      <c r="A104" s="41" t="s">
        <v>269</v>
      </c>
      <c r="B104" s="43">
        <f>IF((B33-B49-B62-B82)&gt;0, B33-B49-B62-B82, 0)</f>
        <v>2183.6628163048263</v>
      </c>
      <c r="C104" s="43">
        <f t="shared" ref="C104:I104" si="57">IF((C33-C49-C62-C82)&gt;0, C33-C49-C62-C82, 0)</f>
        <v>3472.6874232375922</v>
      </c>
      <c r="D104" s="43">
        <f t="shared" si="57"/>
        <v>15245.149208207096</v>
      </c>
      <c r="E104" s="43">
        <f t="shared" si="57"/>
        <v>19221.885115996545</v>
      </c>
      <c r="F104" s="43">
        <f t="shared" si="57"/>
        <v>23125.274275591855</v>
      </c>
      <c r="G104" s="43">
        <f t="shared" si="57"/>
        <v>27035.387975348029</v>
      </c>
      <c r="H104" s="43">
        <f t="shared" si="57"/>
        <v>30920.391427188952</v>
      </c>
      <c r="I104" s="337">
        <f t="shared" si="57"/>
        <v>34966.205910652279</v>
      </c>
    </row>
    <row r="105" spans="1:12" ht="15.75" thickBot="1">
      <c r="A105" s="44" t="s">
        <v>23</v>
      </c>
      <c r="B105" s="223">
        <v>0.1</v>
      </c>
      <c r="C105" s="45">
        <f>$B$105</f>
        <v>0.1</v>
      </c>
      <c r="D105" s="46">
        <f t="shared" ref="D105:I105" si="58">$B$105</f>
        <v>0.1</v>
      </c>
      <c r="E105" s="46">
        <f t="shared" si="58"/>
        <v>0.1</v>
      </c>
      <c r="F105" s="46">
        <f t="shared" si="58"/>
        <v>0.1</v>
      </c>
      <c r="G105" s="46">
        <f t="shared" si="58"/>
        <v>0.1</v>
      </c>
      <c r="H105" s="46">
        <f t="shared" si="58"/>
        <v>0.1</v>
      </c>
      <c r="I105" s="338">
        <f t="shared" si="58"/>
        <v>0.1</v>
      </c>
      <c r="L105" s="6"/>
    </row>
    <row r="106" spans="1:12" ht="15.75" thickBot="1">
      <c r="A106" s="41" t="s">
        <v>231</v>
      </c>
      <c r="B106" s="47">
        <f>1-B105</f>
        <v>0.9</v>
      </c>
      <c r="C106" s="46">
        <f>$B$106</f>
        <v>0.9</v>
      </c>
      <c r="D106" s="46">
        <f t="shared" ref="D106:I106" si="59">$B$106</f>
        <v>0.9</v>
      </c>
      <c r="E106" s="46">
        <f t="shared" si="59"/>
        <v>0.9</v>
      </c>
      <c r="F106" s="46">
        <f t="shared" si="59"/>
        <v>0.9</v>
      </c>
      <c r="G106" s="46">
        <f t="shared" si="59"/>
        <v>0.9</v>
      </c>
      <c r="H106" s="46">
        <f t="shared" si="59"/>
        <v>0.9</v>
      </c>
      <c r="I106" s="338">
        <f t="shared" si="59"/>
        <v>0.9</v>
      </c>
    </row>
    <row r="107" spans="1:12" ht="15.75" customHeight="1" thickBot="1">
      <c r="A107" s="44" t="s">
        <v>24</v>
      </c>
      <c r="B107" s="223">
        <v>0.5</v>
      </c>
      <c r="C107" s="45">
        <f>$B$107</f>
        <v>0.5</v>
      </c>
      <c r="D107" s="46">
        <f t="shared" ref="D107:I107" si="60">$B$107</f>
        <v>0.5</v>
      </c>
      <c r="E107" s="46">
        <f t="shared" si="60"/>
        <v>0.5</v>
      </c>
      <c r="F107" s="46">
        <f t="shared" si="60"/>
        <v>0.5</v>
      </c>
      <c r="G107" s="46">
        <f t="shared" si="60"/>
        <v>0.5</v>
      </c>
      <c r="H107" s="46">
        <f t="shared" si="60"/>
        <v>0.5</v>
      </c>
      <c r="I107" s="338">
        <f t="shared" si="60"/>
        <v>0.5</v>
      </c>
      <c r="L107" s="6"/>
    </row>
    <row r="108" spans="1:12">
      <c r="A108" s="41" t="s">
        <v>232</v>
      </c>
      <c r="B108" s="48">
        <f>1-B107</f>
        <v>0.5</v>
      </c>
      <c r="C108" s="46">
        <f>$B$108</f>
        <v>0.5</v>
      </c>
      <c r="D108" s="46">
        <f t="shared" ref="D108:I108" si="61">$B$108</f>
        <v>0.5</v>
      </c>
      <c r="E108" s="46">
        <f t="shared" si="61"/>
        <v>0.5</v>
      </c>
      <c r="F108" s="46">
        <f t="shared" si="61"/>
        <v>0.5</v>
      </c>
      <c r="G108" s="46">
        <f t="shared" si="61"/>
        <v>0.5</v>
      </c>
      <c r="H108" s="46">
        <f t="shared" si="61"/>
        <v>0.5</v>
      </c>
      <c r="I108" s="338">
        <f t="shared" si="61"/>
        <v>0.5</v>
      </c>
    </row>
    <row r="109" spans="1:12">
      <c r="A109" s="41" t="s">
        <v>25</v>
      </c>
      <c r="B109" s="49">
        <f>B103*B105</f>
        <v>6360.486555747716</v>
      </c>
      <c r="C109" s="49">
        <f t="shared" ref="C109:I109" si="62">C103*C105</f>
        <v>10934.207789991015</v>
      </c>
      <c r="D109" s="49">
        <f t="shared" si="62"/>
        <v>15874.553364291787</v>
      </c>
      <c r="E109" s="49">
        <f t="shared" si="62"/>
        <v>21760.326578254386</v>
      </c>
      <c r="F109" s="49">
        <f t="shared" si="62"/>
        <v>27186.496769395519</v>
      </c>
      <c r="G109" s="49">
        <f t="shared" si="62"/>
        <v>31756.55091756285</v>
      </c>
      <c r="H109" s="49">
        <f t="shared" si="62"/>
        <v>36297.241609088669</v>
      </c>
      <c r="I109" s="339">
        <f t="shared" si="62"/>
        <v>41026.719105106444</v>
      </c>
    </row>
    <row r="110" spans="1:12">
      <c r="A110" s="41" t="s">
        <v>243</v>
      </c>
      <c r="B110" s="49">
        <f>B106*B101</f>
        <v>20344.513236967316</v>
      </c>
      <c r="C110" s="49">
        <f t="shared" ref="C110:I110" si="63">C106*C101</f>
        <v>48661.748292154502</v>
      </c>
      <c r="D110" s="49">
        <f t="shared" si="63"/>
        <v>84348.635615638384</v>
      </c>
      <c r="E110" s="49">
        <f t="shared" si="63"/>
        <v>128218.11021260748</v>
      </c>
      <c r="F110" s="49">
        <f t="shared" si="63"/>
        <v>166027.89906638773</v>
      </c>
      <c r="G110" s="49">
        <f t="shared" si="63"/>
        <v>198667.63106813424</v>
      </c>
      <c r="H110" s="49">
        <f t="shared" si="63"/>
        <v>231100.34276667249</v>
      </c>
      <c r="I110" s="339">
        <f t="shared" si="63"/>
        <v>264732.94733408716</v>
      </c>
    </row>
    <row r="111" spans="1:12">
      <c r="A111" s="41" t="s">
        <v>26</v>
      </c>
      <c r="B111" s="49">
        <f>SUM(B109:B110)</f>
        <v>26704.999792715033</v>
      </c>
      <c r="C111" s="49">
        <f t="shared" ref="C111:I111" si="64">SUM(C109:C110)</f>
        <v>59595.956082145516</v>
      </c>
      <c r="D111" s="49">
        <f t="shared" si="64"/>
        <v>100223.18897993017</v>
      </c>
      <c r="E111" s="49">
        <f t="shared" si="64"/>
        <v>149978.43679086186</v>
      </c>
      <c r="F111" s="49">
        <f t="shared" si="64"/>
        <v>193214.39583578325</v>
      </c>
      <c r="G111" s="49">
        <f t="shared" si="64"/>
        <v>230424.1819856971</v>
      </c>
      <c r="H111" s="49">
        <f t="shared" si="64"/>
        <v>267397.58437576116</v>
      </c>
      <c r="I111" s="339">
        <f t="shared" si="64"/>
        <v>305759.66643919359</v>
      </c>
    </row>
    <row r="112" spans="1:12">
      <c r="A112" s="41" t="s">
        <v>244</v>
      </c>
      <c r="B112" s="49">
        <f>B106*B102</f>
        <v>36899.865764762129</v>
      </c>
      <c r="C112" s="49">
        <f t="shared" ref="C112:I112" si="65">C106*C102</f>
        <v>49746.121817764637</v>
      </c>
      <c r="D112" s="49">
        <f t="shared" si="65"/>
        <v>58522.3446629877</v>
      </c>
      <c r="E112" s="49">
        <f t="shared" si="65"/>
        <v>67624.828991681978</v>
      </c>
      <c r="F112" s="49">
        <f t="shared" si="65"/>
        <v>78650.571858171941</v>
      </c>
      <c r="G112" s="49">
        <f t="shared" si="65"/>
        <v>87141.327189931413</v>
      </c>
      <c r="H112" s="49">
        <f t="shared" si="65"/>
        <v>95574.831715125503</v>
      </c>
      <c r="I112" s="339">
        <f t="shared" si="65"/>
        <v>104507.52461187083</v>
      </c>
    </row>
    <row r="113" spans="1:12">
      <c r="A113" s="41" t="s">
        <v>27</v>
      </c>
      <c r="B113" s="49">
        <f>B107*B104</f>
        <v>1091.8314081524131</v>
      </c>
      <c r="C113" s="49">
        <f t="shared" ref="C113:I113" si="66">C107*C104</f>
        <v>1736.3437116187961</v>
      </c>
      <c r="D113" s="49">
        <f t="shared" si="66"/>
        <v>7622.5746041035482</v>
      </c>
      <c r="E113" s="49">
        <f t="shared" si="66"/>
        <v>9610.9425579982726</v>
      </c>
      <c r="F113" s="49">
        <f t="shared" si="66"/>
        <v>11562.637137795928</v>
      </c>
      <c r="G113" s="49">
        <f t="shared" si="66"/>
        <v>13517.693987674014</v>
      </c>
      <c r="H113" s="49">
        <f t="shared" si="66"/>
        <v>15460.195713594476</v>
      </c>
      <c r="I113" s="339">
        <f t="shared" si="66"/>
        <v>17483.10295532614</v>
      </c>
    </row>
    <row r="114" spans="1:12">
      <c r="A114" s="41" t="s">
        <v>245</v>
      </c>
      <c r="B114" s="50">
        <f>B104*B108</f>
        <v>1091.8314081524131</v>
      </c>
      <c r="C114" s="50">
        <f t="shared" ref="C114:I114" si="67">C104*C108</f>
        <v>1736.3437116187961</v>
      </c>
      <c r="D114" s="50">
        <f t="shared" si="67"/>
        <v>7622.5746041035482</v>
      </c>
      <c r="E114" s="50">
        <f t="shared" si="67"/>
        <v>9610.9425579982726</v>
      </c>
      <c r="F114" s="50">
        <f t="shared" si="67"/>
        <v>11562.637137795928</v>
      </c>
      <c r="G114" s="50">
        <f t="shared" si="67"/>
        <v>13517.693987674014</v>
      </c>
      <c r="H114" s="50">
        <f t="shared" si="67"/>
        <v>15460.195713594476</v>
      </c>
      <c r="I114" s="340">
        <f t="shared" si="67"/>
        <v>17483.10295532614</v>
      </c>
    </row>
    <row r="115" spans="1:12">
      <c r="A115" s="41" t="s">
        <v>233</v>
      </c>
      <c r="B115" s="50">
        <f>B111+B113</f>
        <v>27796.831200867447</v>
      </c>
      <c r="C115" s="50">
        <f t="shared" ref="C115:I116" si="68">C111+C113</f>
        <v>61332.299793764309</v>
      </c>
      <c r="D115" s="50">
        <f t="shared" si="68"/>
        <v>107845.76358403372</v>
      </c>
      <c r="E115" s="50">
        <f t="shared" si="68"/>
        <v>159589.37934886012</v>
      </c>
      <c r="F115" s="50">
        <f t="shared" si="68"/>
        <v>204777.03297357916</v>
      </c>
      <c r="G115" s="50">
        <f t="shared" si="68"/>
        <v>243941.87597337112</v>
      </c>
      <c r="H115" s="50">
        <f t="shared" si="68"/>
        <v>282857.78008935566</v>
      </c>
      <c r="I115" s="340">
        <f t="shared" si="68"/>
        <v>323242.76939451974</v>
      </c>
    </row>
    <row r="116" spans="1:12">
      <c r="A116" s="162" t="s">
        <v>234</v>
      </c>
      <c r="B116" s="163">
        <f>B112+B114</f>
        <v>37991.697172914544</v>
      </c>
      <c r="C116" s="163">
        <f t="shared" si="68"/>
        <v>51482.465529383437</v>
      </c>
      <c r="D116" s="163">
        <f t="shared" si="68"/>
        <v>66144.919267091245</v>
      </c>
      <c r="E116" s="163">
        <f t="shared" si="68"/>
        <v>77235.771549680256</v>
      </c>
      <c r="F116" s="163">
        <f t="shared" si="68"/>
        <v>90213.208995967871</v>
      </c>
      <c r="G116" s="163">
        <f t="shared" si="68"/>
        <v>100659.02117760543</v>
      </c>
      <c r="H116" s="163">
        <f t="shared" si="68"/>
        <v>111035.02742871997</v>
      </c>
      <c r="I116" s="341">
        <f t="shared" si="68"/>
        <v>121990.62756719696</v>
      </c>
      <c r="K116" s="130"/>
    </row>
    <row r="117" spans="1:12">
      <c r="A117" s="331" t="s">
        <v>29</v>
      </c>
      <c r="B117" s="332" t="s">
        <v>292</v>
      </c>
      <c r="C117" s="332" t="s">
        <v>293</v>
      </c>
      <c r="D117" s="332" t="s">
        <v>294</v>
      </c>
      <c r="E117" s="332" t="s">
        <v>295</v>
      </c>
      <c r="F117" s="332" t="s">
        <v>296</v>
      </c>
      <c r="G117" s="332" t="s">
        <v>297</v>
      </c>
      <c r="H117" s="332" t="s">
        <v>298</v>
      </c>
      <c r="I117" s="332" t="s">
        <v>299</v>
      </c>
      <c r="K117" s="130"/>
    </row>
    <row r="118" spans="1:12" ht="15.75" thickBot="1">
      <c r="A118" s="329" t="s">
        <v>149</v>
      </c>
      <c r="B118" s="285">
        <v>0</v>
      </c>
      <c r="C118" s="201">
        <f>B118</f>
        <v>0</v>
      </c>
      <c r="D118" s="165">
        <f>B118</f>
        <v>0</v>
      </c>
      <c r="E118" s="200">
        <f>B118</f>
        <v>0</v>
      </c>
      <c r="F118" s="285">
        <v>0</v>
      </c>
      <c r="G118" s="201">
        <f>F118</f>
        <v>0</v>
      </c>
      <c r="H118" s="165">
        <f>F118</f>
        <v>0</v>
      </c>
      <c r="I118" s="165">
        <f>F118</f>
        <v>0</v>
      </c>
      <c r="K118" s="130"/>
    </row>
    <row r="119" spans="1:12">
      <c r="A119" s="203" t="s">
        <v>30</v>
      </c>
      <c r="B119" s="165">
        <f>1-B118</f>
        <v>1</v>
      </c>
      <c r="C119" s="52">
        <f t="shared" ref="C119:I119" si="69">1-C118</f>
        <v>1</v>
      </c>
      <c r="D119" s="52">
        <f t="shared" si="69"/>
        <v>1</v>
      </c>
      <c r="E119" s="52">
        <f t="shared" si="69"/>
        <v>1</v>
      </c>
      <c r="F119" s="165">
        <f t="shared" si="69"/>
        <v>1</v>
      </c>
      <c r="G119" s="52">
        <f t="shared" si="69"/>
        <v>1</v>
      </c>
      <c r="H119" s="52">
        <f t="shared" si="69"/>
        <v>1</v>
      </c>
      <c r="I119" s="52">
        <f t="shared" si="69"/>
        <v>1</v>
      </c>
      <c r="K119" s="130"/>
    </row>
    <row r="120" spans="1:12">
      <c r="A120" s="330" t="s">
        <v>147</v>
      </c>
      <c r="B120" s="52">
        <f>Scenarios!C9</f>
        <v>0.35</v>
      </c>
      <c r="C120" s="52">
        <f>Scenarios!D9</f>
        <v>0.35</v>
      </c>
      <c r="D120" s="52">
        <f>Scenarios!E9</f>
        <v>0.35</v>
      </c>
      <c r="E120" s="52">
        <f>Scenarios!F9</f>
        <v>0.35</v>
      </c>
      <c r="F120" s="52">
        <f>Scenarios!G9</f>
        <v>0.45</v>
      </c>
      <c r="G120" s="52">
        <f>Scenarios!H9</f>
        <v>0.45</v>
      </c>
      <c r="H120" s="52">
        <f>Scenarios!I9</f>
        <v>0.45</v>
      </c>
      <c r="I120" s="52">
        <f>Scenarios!J9</f>
        <v>0.45</v>
      </c>
      <c r="K120" s="130"/>
      <c r="L120" s="6"/>
    </row>
    <row r="121" spans="1:12" ht="15.75" thickBot="1">
      <c r="A121" s="203" t="s">
        <v>31</v>
      </c>
      <c r="B121" s="205">
        <f>1-B120</f>
        <v>0.65</v>
      </c>
      <c r="C121" s="52">
        <f t="shared" ref="C121:I121" si="70">1-C120</f>
        <v>0.65</v>
      </c>
      <c r="D121" s="52">
        <f t="shared" si="70"/>
        <v>0.65</v>
      </c>
      <c r="E121" s="52">
        <f t="shared" si="70"/>
        <v>0.65</v>
      </c>
      <c r="F121" s="205">
        <f t="shared" si="70"/>
        <v>0.55000000000000004</v>
      </c>
      <c r="G121" s="52">
        <f t="shared" si="70"/>
        <v>0.55000000000000004</v>
      </c>
      <c r="H121" s="52">
        <f t="shared" si="70"/>
        <v>0.55000000000000004</v>
      </c>
      <c r="I121" s="52">
        <f t="shared" si="70"/>
        <v>0.55000000000000004</v>
      </c>
      <c r="K121" s="130"/>
    </row>
    <row r="122" spans="1:12" ht="15.75" thickBot="1">
      <c r="A122" s="330" t="s">
        <v>148</v>
      </c>
      <c r="B122" s="223">
        <v>0</v>
      </c>
      <c r="C122" s="202">
        <f>B122</f>
        <v>0</v>
      </c>
      <c r="D122" s="52">
        <f>B122</f>
        <v>0</v>
      </c>
      <c r="E122" s="199">
        <f>B122</f>
        <v>0</v>
      </c>
      <c r="F122" s="223">
        <v>0</v>
      </c>
      <c r="G122" s="202">
        <f>F122</f>
        <v>0</v>
      </c>
      <c r="H122" s="52">
        <f>F122</f>
        <v>0</v>
      </c>
      <c r="I122" s="52">
        <f>F122</f>
        <v>0</v>
      </c>
      <c r="K122" s="130"/>
    </row>
    <row r="123" spans="1:12">
      <c r="A123" s="203" t="s">
        <v>32</v>
      </c>
      <c r="B123" s="208">
        <f>1-B122</f>
        <v>1</v>
      </c>
      <c r="C123" s="52">
        <f t="shared" ref="C123:I123" si="71">1-C122</f>
        <v>1</v>
      </c>
      <c r="D123" s="52">
        <f t="shared" si="71"/>
        <v>1</v>
      </c>
      <c r="E123" s="52">
        <f t="shared" si="71"/>
        <v>1</v>
      </c>
      <c r="F123" s="165">
        <f t="shared" si="71"/>
        <v>1</v>
      </c>
      <c r="G123" s="52">
        <f t="shared" si="71"/>
        <v>1</v>
      </c>
      <c r="H123" s="52">
        <f t="shared" si="71"/>
        <v>1</v>
      </c>
      <c r="I123" s="52">
        <f t="shared" si="71"/>
        <v>1</v>
      </c>
      <c r="K123" s="130"/>
    </row>
    <row r="124" spans="1:12" ht="15.75" thickBot="1">
      <c r="A124" s="203" t="s">
        <v>33</v>
      </c>
      <c r="B124" s="206">
        <f>Scenarios!C10</f>
        <v>150</v>
      </c>
      <c r="C124" s="103">
        <f>Scenarios!D10</f>
        <v>157.5</v>
      </c>
      <c r="D124" s="103">
        <f>Scenarios!E10</f>
        <v>165.375</v>
      </c>
      <c r="E124" s="103">
        <f>Scenarios!F10</f>
        <v>173.64375000000001</v>
      </c>
      <c r="F124" s="206">
        <f>Scenarios!G10</f>
        <v>182.32593750000001</v>
      </c>
      <c r="G124" s="103">
        <f>Scenarios!H10</f>
        <v>191.44223437500003</v>
      </c>
      <c r="H124" s="103">
        <f>Scenarios!I10</f>
        <v>201.01434609375005</v>
      </c>
      <c r="I124" s="103">
        <f>Scenarios!J10</f>
        <v>211.06506339843756</v>
      </c>
      <c r="K124" s="130"/>
    </row>
    <row r="125" spans="1:12" ht="15.75" thickBot="1">
      <c r="A125" s="330" t="s">
        <v>146</v>
      </c>
      <c r="B125" s="228">
        <v>300</v>
      </c>
      <c r="C125" s="203">
        <f>$B$125</f>
        <v>300</v>
      </c>
      <c r="D125" s="51">
        <f>$B$125</f>
        <v>300</v>
      </c>
      <c r="E125" s="97">
        <f>$B$125</f>
        <v>300</v>
      </c>
      <c r="F125" s="228">
        <v>300</v>
      </c>
      <c r="G125" s="203">
        <f>$F$125</f>
        <v>300</v>
      </c>
      <c r="H125" s="51">
        <f>$F$125</f>
        <v>300</v>
      </c>
      <c r="I125" s="51">
        <f>$F$125</f>
        <v>300</v>
      </c>
      <c r="K125" s="130"/>
    </row>
    <row r="126" spans="1:12">
      <c r="A126" s="203" t="s">
        <v>34</v>
      </c>
      <c r="B126" s="209">
        <f>B124/0.7</f>
        <v>214.28571428571431</v>
      </c>
      <c r="C126" s="103">
        <f t="shared" ref="C126:I126" si="72">C124/0.7</f>
        <v>225.00000000000003</v>
      </c>
      <c r="D126" s="103">
        <f t="shared" si="72"/>
        <v>236.25000000000003</v>
      </c>
      <c r="E126" s="103">
        <f t="shared" si="72"/>
        <v>248.06250000000003</v>
      </c>
      <c r="F126" s="209">
        <f t="shared" si="72"/>
        <v>260.46562500000005</v>
      </c>
      <c r="G126" s="103">
        <f t="shared" si="72"/>
        <v>273.48890625000007</v>
      </c>
      <c r="H126" s="103">
        <f t="shared" si="72"/>
        <v>287.16335156250011</v>
      </c>
      <c r="I126" s="103">
        <f t="shared" si="72"/>
        <v>301.52151914062512</v>
      </c>
      <c r="K126" s="130"/>
    </row>
    <row r="127" spans="1:12">
      <c r="A127" s="203" t="s">
        <v>226</v>
      </c>
      <c r="B127" s="103">
        <f>B125/0.7</f>
        <v>428.57142857142861</v>
      </c>
      <c r="C127" s="103">
        <f t="shared" ref="C127:I127" si="73">C125/0.7</f>
        <v>428.57142857142861</v>
      </c>
      <c r="D127" s="103">
        <f t="shared" si="73"/>
        <v>428.57142857142861</v>
      </c>
      <c r="E127" s="103">
        <f t="shared" si="73"/>
        <v>428.57142857142861</v>
      </c>
      <c r="F127" s="103">
        <f t="shared" si="73"/>
        <v>428.57142857142861</v>
      </c>
      <c r="G127" s="103">
        <f t="shared" si="73"/>
        <v>428.57142857142861</v>
      </c>
      <c r="H127" s="103">
        <f t="shared" si="73"/>
        <v>428.57142857142861</v>
      </c>
      <c r="I127" s="103">
        <f t="shared" si="73"/>
        <v>428.57142857142861</v>
      </c>
      <c r="K127" s="130"/>
    </row>
    <row r="128" spans="1:12">
      <c r="A128" s="203" t="s">
        <v>35</v>
      </c>
      <c r="B128" s="104">
        <f>IF(((B126/100)+0.5)&lt;4, (B126/100)+0.5, 4)</f>
        <v>2.6428571428571432</v>
      </c>
      <c r="C128" s="104">
        <f t="shared" ref="C128:I129" si="74">IF(((C126/100)+0.5)&lt;4, (C126/100)+0.5, 4)</f>
        <v>2.7500000000000004</v>
      </c>
      <c r="D128" s="104">
        <f t="shared" si="74"/>
        <v>2.8625000000000003</v>
      </c>
      <c r="E128" s="104">
        <f t="shared" si="74"/>
        <v>2.9806250000000003</v>
      </c>
      <c r="F128" s="104">
        <f t="shared" si="74"/>
        <v>3.1046562500000006</v>
      </c>
      <c r="G128" s="104">
        <f t="shared" si="74"/>
        <v>3.2348890625000006</v>
      </c>
      <c r="H128" s="104">
        <f t="shared" si="74"/>
        <v>3.371633515625001</v>
      </c>
      <c r="I128" s="104">
        <f t="shared" si="74"/>
        <v>3.5152151914062513</v>
      </c>
    </row>
    <row r="129" spans="1:15">
      <c r="A129" s="203" t="s">
        <v>227</v>
      </c>
      <c r="B129" s="105">
        <f>IF(((B127/100)+0.5)&lt;4, (B127/100)+0.5, 4)</f>
        <v>4</v>
      </c>
      <c r="C129" s="105">
        <f t="shared" si="74"/>
        <v>4</v>
      </c>
      <c r="D129" s="105">
        <f t="shared" si="74"/>
        <v>4</v>
      </c>
      <c r="E129" s="105">
        <f t="shared" si="74"/>
        <v>4</v>
      </c>
      <c r="F129" s="105">
        <f t="shared" si="74"/>
        <v>4</v>
      </c>
      <c r="G129" s="105">
        <f t="shared" si="74"/>
        <v>4</v>
      </c>
      <c r="H129" s="105">
        <f t="shared" si="74"/>
        <v>4</v>
      </c>
      <c r="I129" s="105">
        <f t="shared" si="74"/>
        <v>4</v>
      </c>
    </row>
    <row r="130" spans="1:15">
      <c r="A130" s="203" t="s">
        <v>118</v>
      </c>
      <c r="B130" s="52">
        <f>Scenarios!C11</f>
        <v>0.65</v>
      </c>
      <c r="C130" s="52">
        <f>Scenarios!D11</f>
        <v>0.65</v>
      </c>
      <c r="D130" s="52">
        <f>Scenarios!E11</f>
        <v>0.65</v>
      </c>
      <c r="E130" s="52">
        <f>Scenarios!F11</f>
        <v>0.65</v>
      </c>
      <c r="F130" s="52">
        <f>Scenarios!G11</f>
        <v>0.5</v>
      </c>
      <c r="G130" s="52">
        <f>Scenarios!H11</f>
        <v>0.5</v>
      </c>
      <c r="H130" s="52">
        <f>Scenarios!I11</f>
        <v>0.5</v>
      </c>
      <c r="I130" s="52">
        <f>Scenarios!J11</f>
        <v>0.5</v>
      </c>
    </row>
    <row r="131" spans="1:15" ht="15.75" thickBot="1">
      <c r="A131" s="203" t="s">
        <v>119</v>
      </c>
      <c r="B131" s="207">
        <f>1-B130</f>
        <v>0.35</v>
      </c>
      <c r="C131" s="106">
        <f t="shared" ref="C131:I131" si="75">1-C130</f>
        <v>0.35</v>
      </c>
      <c r="D131" s="106">
        <f t="shared" si="75"/>
        <v>0.35</v>
      </c>
      <c r="E131" s="106">
        <f t="shared" si="75"/>
        <v>0.35</v>
      </c>
      <c r="F131" s="207">
        <f t="shared" si="75"/>
        <v>0.5</v>
      </c>
      <c r="G131" s="106">
        <f t="shared" si="75"/>
        <v>0.5</v>
      </c>
      <c r="H131" s="106">
        <f t="shared" si="75"/>
        <v>0.5</v>
      </c>
      <c r="I131" s="106">
        <f t="shared" si="75"/>
        <v>0.5</v>
      </c>
    </row>
    <row r="132" spans="1:15" ht="15.75" thickBot="1">
      <c r="A132" s="330" t="s">
        <v>179</v>
      </c>
      <c r="B132" s="225">
        <v>1</v>
      </c>
      <c r="C132" s="204">
        <f>$B$132</f>
        <v>1</v>
      </c>
      <c r="D132" s="106">
        <f>$B$132</f>
        <v>1</v>
      </c>
      <c r="E132" s="198">
        <f>$B$132</f>
        <v>1</v>
      </c>
      <c r="F132" s="229">
        <v>0.75</v>
      </c>
      <c r="G132" s="204">
        <f>$F$132</f>
        <v>0.75</v>
      </c>
      <c r="H132" s="106">
        <f>$F$132</f>
        <v>0.75</v>
      </c>
      <c r="I132" s="106">
        <f>$F$132</f>
        <v>0.75</v>
      </c>
    </row>
    <row r="133" spans="1:15">
      <c r="A133" s="203" t="s">
        <v>120</v>
      </c>
      <c r="B133" s="210">
        <f>1-B132</f>
        <v>0</v>
      </c>
      <c r="C133" s="106">
        <f t="shared" ref="C133:I133" si="76">1-C132</f>
        <v>0</v>
      </c>
      <c r="D133" s="106">
        <f t="shared" si="76"/>
        <v>0</v>
      </c>
      <c r="E133" s="106">
        <f t="shared" si="76"/>
        <v>0</v>
      </c>
      <c r="F133" s="210">
        <f t="shared" si="76"/>
        <v>0.25</v>
      </c>
      <c r="G133" s="106">
        <f t="shared" si="76"/>
        <v>0.25</v>
      </c>
      <c r="H133" s="106">
        <f t="shared" si="76"/>
        <v>0.25</v>
      </c>
      <c r="I133" s="106">
        <f t="shared" si="76"/>
        <v>0.25</v>
      </c>
    </row>
    <row r="134" spans="1:15">
      <c r="A134" s="203" t="s">
        <v>121</v>
      </c>
      <c r="B134" s="103">
        <f>Scenarios!C12</f>
        <v>20</v>
      </c>
      <c r="C134" s="103">
        <f>Scenarios!D12</f>
        <v>21</v>
      </c>
      <c r="D134" s="103">
        <f>Scenarios!E12</f>
        <v>22.05</v>
      </c>
      <c r="E134" s="103">
        <f>Scenarios!F12</f>
        <v>23.152500000000003</v>
      </c>
      <c r="F134" s="103">
        <f>Scenarios!G12</f>
        <v>24.310125000000003</v>
      </c>
      <c r="G134" s="103">
        <f>Scenarios!H12</f>
        <v>25.525631250000004</v>
      </c>
      <c r="H134" s="103">
        <f>Scenarios!I12</f>
        <v>26.801912812500007</v>
      </c>
      <c r="I134" s="103">
        <f>Scenarios!J12</f>
        <v>28.142008453125008</v>
      </c>
    </row>
    <row r="135" spans="1:15" ht="15.75" thickBot="1">
      <c r="A135" s="203" t="s">
        <v>128</v>
      </c>
      <c r="B135" s="206">
        <f>B134/0.7</f>
        <v>28.571428571428573</v>
      </c>
      <c r="C135" s="206">
        <f t="shared" ref="C135:I135" si="77">C134/0.7</f>
        <v>30.000000000000004</v>
      </c>
      <c r="D135" s="206">
        <f t="shared" si="77"/>
        <v>31.500000000000004</v>
      </c>
      <c r="E135" s="206">
        <f t="shared" si="77"/>
        <v>33.07500000000001</v>
      </c>
      <c r="F135" s="206">
        <f t="shared" si="77"/>
        <v>34.728750000000005</v>
      </c>
      <c r="G135" s="206">
        <f t="shared" si="77"/>
        <v>36.465187500000006</v>
      </c>
      <c r="H135" s="206">
        <f t="shared" si="77"/>
        <v>38.288446875000012</v>
      </c>
      <c r="I135" s="206">
        <f t="shared" si="77"/>
        <v>40.202869218750017</v>
      </c>
    </row>
    <row r="136" spans="1:15" ht="15.75" thickBot="1">
      <c r="A136" s="330" t="s">
        <v>225</v>
      </c>
      <c r="B136" s="230" t="s">
        <v>36</v>
      </c>
      <c r="C136" s="230" t="s">
        <v>36</v>
      </c>
      <c r="D136" s="230" t="s">
        <v>36</v>
      </c>
      <c r="E136" s="230" t="s">
        <v>36</v>
      </c>
      <c r="F136" s="230" t="s">
        <v>36</v>
      </c>
      <c r="G136" s="230" t="s">
        <v>36</v>
      </c>
      <c r="H136" s="230" t="s">
        <v>36</v>
      </c>
      <c r="I136" s="230" t="s">
        <v>36</v>
      </c>
    </row>
    <row r="137" spans="1:15">
      <c r="A137" s="203" t="s">
        <v>37</v>
      </c>
      <c r="B137" s="211">
        <f>IF(B136="YES",0.2,0)</f>
        <v>0</v>
      </c>
      <c r="C137" s="211">
        <f t="shared" ref="C137:I137" si="78">IF(C136="YES",0.2,0)</f>
        <v>0</v>
      </c>
      <c r="D137" s="211">
        <f t="shared" si="78"/>
        <v>0</v>
      </c>
      <c r="E137" s="211">
        <f t="shared" si="78"/>
        <v>0</v>
      </c>
      <c r="F137" s="211">
        <f t="shared" si="78"/>
        <v>0</v>
      </c>
      <c r="G137" s="211">
        <f t="shared" si="78"/>
        <v>0</v>
      </c>
      <c r="H137" s="211">
        <f t="shared" si="78"/>
        <v>0</v>
      </c>
      <c r="I137" s="211">
        <f t="shared" si="78"/>
        <v>0</v>
      </c>
    </row>
    <row r="138" spans="1:15" ht="15" customHeight="1">
      <c r="A138" s="203" t="s">
        <v>223</v>
      </c>
      <c r="B138" s="107">
        <f>IF(B137=0.2, B135/100+0.5,B135/100+0.3)</f>
        <v>0.58571428571428574</v>
      </c>
      <c r="C138" s="107">
        <f t="shared" ref="C138:I138" si="79">IF(C137=0.2, C135/100+0.5,C135/100+0.3)</f>
        <v>0.60000000000000009</v>
      </c>
      <c r="D138" s="107">
        <f t="shared" si="79"/>
        <v>0.61499999999999999</v>
      </c>
      <c r="E138" s="107">
        <f t="shared" si="79"/>
        <v>0.63075000000000014</v>
      </c>
      <c r="F138" s="107">
        <f t="shared" si="79"/>
        <v>0.64728750000000002</v>
      </c>
      <c r="G138" s="107">
        <f t="shared" si="79"/>
        <v>0.66465187500000011</v>
      </c>
      <c r="H138" s="107">
        <f t="shared" si="79"/>
        <v>0.6828844687500002</v>
      </c>
      <c r="I138" s="107">
        <f t="shared" si="79"/>
        <v>0.70202869218750008</v>
      </c>
    </row>
    <row r="139" spans="1:15">
      <c r="A139" s="203" t="s">
        <v>222</v>
      </c>
      <c r="B139" s="107">
        <f>IF(B138&gt;1.3, 1.3, B138)</f>
        <v>0.58571428571428574</v>
      </c>
      <c r="C139" s="107">
        <f t="shared" ref="C139:I139" si="80">IF(C138&gt;1.3, 1.3, C138)</f>
        <v>0.60000000000000009</v>
      </c>
      <c r="D139" s="107">
        <f t="shared" si="80"/>
        <v>0.61499999999999999</v>
      </c>
      <c r="E139" s="107">
        <f t="shared" si="80"/>
        <v>0.63075000000000014</v>
      </c>
      <c r="F139" s="107">
        <f t="shared" si="80"/>
        <v>0.64728750000000002</v>
      </c>
      <c r="G139" s="107">
        <f t="shared" si="80"/>
        <v>0.66465187500000011</v>
      </c>
      <c r="H139" s="107">
        <f t="shared" si="80"/>
        <v>0.6828844687500002</v>
      </c>
      <c r="I139" s="107">
        <f t="shared" si="80"/>
        <v>0.70202869218750008</v>
      </c>
    </row>
    <row r="140" spans="1:15">
      <c r="A140" s="203" t="s">
        <v>122</v>
      </c>
      <c r="B140" s="103">
        <f>Scenarios!C13</f>
        <v>40</v>
      </c>
      <c r="C140" s="103">
        <f>Scenarios!D13</f>
        <v>42</v>
      </c>
      <c r="D140" s="103">
        <f>Scenarios!E13</f>
        <v>44.1</v>
      </c>
      <c r="E140" s="103">
        <f>Scenarios!F13</f>
        <v>46.305000000000007</v>
      </c>
      <c r="F140" s="103">
        <f>Scenarios!G13</f>
        <v>48.620250000000006</v>
      </c>
      <c r="G140" s="103">
        <f>Scenarios!H13</f>
        <v>51.051262500000007</v>
      </c>
      <c r="H140" s="103">
        <f>Scenarios!I13</f>
        <v>53.603825625000013</v>
      </c>
      <c r="I140" s="103">
        <f>Scenarios!J13</f>
        <v>56.284016906250017</v>
      </c>
    </row>
    <row r="141" spans="1:15" ht="15.75" thickBot="1">
      <c r="A141" s="203" t="s">
        <v>127</v>
      </c>
      <c r="B141" s="206">
        <f>B140/0.7</f>
        <v>57.142857142857146</v>
      </c>
      <c r="C141" s="206">
        <f t="shared" ref="C141:I141" si="81">C140/0.7</f>
        <v>60.000000000000007</v>
      </c>
      <c r="D141" s="206">
        <f t="shared" si="81"/>
        <v>63.000000000000007</v>
      </c>
      <c r="E141" s="206">
        <f t="shared" si="81"/>
        <v>66.15000000000002</v>
      </c>
      <c r="F141" s="206">
        <f t="shared" si="81"/>
        <v>69.45750000000001</v>
      </c>
      <c r="G141" s="206">
        <f t="shared" si="81"/>
        <v>72.930375000000012</v>
      </c>
      <c r="H141" s="206">
        <f t="shared" si="81"/>
        <v>76.576893750000025</v>
      </c>
      <c r="I141" s="206">
        <f t="shared" si="81"/>
        <v>80.405738437500034</v>
      </c>
    </row>
    <row r="142" spans="1:15" ht="15" customHeight="1" thickBot="1">
      <c r="A142" s="330" t="s">
        <v>224</v>
      </c>
      <c r="B142" s="228" t="s">
        <v>39</v>
      </c>
      <c r="C142" s="228" t="s">
        <v>39</v>
      </c>
      <c r="D142" s="228" t="s">
        <v>39</v>
      </c>
      <c r="E142" s="228" t="s">
        <v>39</v>
      </c>
      <c r="F142" s="228" t="s">
        <v>39</v>
      </c>
      <c r="G142" s="228" t="s">
        <v>39</v>
      </c>
      <c r="H142" s="228" t="s">
        <v>39</v>
      </c>
      <c r="I142" s="228" t="s">
        <v>39</v>
      </c>
      <c r="K142" s="128"/>
      <c r="L142" s="128"/>
      <c r="M142" s="128"/>
      <c r="N142" s="128"/>
      <c r="O142" s="128"/>
    </row>
    <row r="143" spans="1:15">
      <c r="A143" s="203" t="s">
        <v>37</v>
      </c>
      <c r="B143" s="164">
        <f>IF(B142="YES",0.2,0)</f>
        <v>0.2</v>
      </c>
      <c r="C143" s="164">
        <f t="shared" ref="C143:I143" si="82">IF(C142="YES",0.2,0)</f>
        <v>0.2</v>
      </c>
      <c r="D143" s="164">
        <f t="shared" si="82"/>
        <v>0.2</v>
      </c>
      <c r="E143" s="164">
        <f t="shared" si="82"/>
        <v>0.2</v>
      </c>
      <c r="F143" s="164">
        <f t="shared" si="82"/>
        <v>0.2</v>
      </c>
      <c r="G143" s="164">
        <f t="shared" si="82"/>
        <v>0.2</v>
      </c>
      <c r="H143" s="164">
        <f t="shared" si="82"/>
        <v>0.2</v>
      </c>
      <c r="I143" s="164">
        <f t="shared" si="82"/>
        <v>0.2</v>
      </c>
      <c r="K143" s="128"/>
      <c r="L143" s="128"/>
      <c r="M143" s="128"/>
      <c r="N143" s="128"/>
      <c r="O143" s="128"/>
    </row>
    <row r="144" spans="1:15" ht="15" customHeight="1">
      <c r="A144" s="203" t="s">
        <v>38</v>
      </c>
      <c r="B144" s="215">
        <f>IF(B143=0.2, B141/100+0.5,B141/100+0.3)</f>
        <v>1.0714285714285716</v>
      </c>
      <c r="C144" s="215">
        <f t="shared" ref="C144:I144" si="83">IF(C143=0.2, C141/100+0.5,C141/100+0.3)</f>
        <v>1.1000000000000001</v>
      </c>
      <c r="D144" s="215">
        <f t="shared" si="83"/>
        <v>1.1300000000000001</v>
      </c>
      <c r="E144" s="215">
        <f t="shared" si="83"/>
        <v>1.1615000000000002</v>
      </c>
      <c r="F144" s="215">
        <f t="shared" si="83"/>
        <v>1.1945749999999999</v>
      </c>
      <c r="G144" s="215">
        <f t="shared" si="83"/>
        <v>1.2293037500000001</v>
      </c>
      <c r="H144" s="215">
        <f t="shared" si="83"/>
        <v>1.2657689375000003</v>
      </c>
      <c r="I144" s="215">
        <f t="shared" si="83"/>
        <v>1.3040573843750003</v>
      </c>
      <c r="K144" s="128"/>
      <c r="L144" s="128"/>
      <c r="M144" s="128"/>
      <c r="N144" s="128"/>
      <c r="O144" s="128"/>
    </row>
    <row r="145" spans="1:15">
      <c r="A145" s="333" t="s">
        <v>126</v>
      </c>
      <c r="B145" s="334">
        <f>IF(B144&gt;1.3, 1.3, B144)</f>
        <v>1.0714285714285716</v>
      </c>
      <c r="C145" s="334">
        <f t="shared" ref="C145:I145" si="84">IF(C144&gt;1.3, 1.3, C144)</f>
        <v>1.1000000000000001</v>
      </c>
      <c r="D145" s="334">
        <f t="shared" si="84"/>
        <v>1.1300000000000001</v>
      </c>
      <c r="E145" s="334">
        <f t="shared" si="84"/>
        <v>1.1615000000000002</v>
      </c>
      <c r="F145" s="334">
        <f t="shared" si="84"/>
        <v>1.1945749999999999</v>
      </c>
      <c r="G145" s="334">
        <f t="shared" si="84"/>
        <v>1.2293037500000001</v>
      </c>
      <c r="H145" s="334">
        <f t="shared" si="84"/>
        <v>1.2657689375000003</v>
      </c>
      <c r="I145" s="334">
        <f t="shared" si="84"/>
        <v>1.3</v>
      </c>
      <c r="K145" s="128"/>
      <c r="L145" s="128"/>
      <c r="M145" s="128"/>
      <c r="N145" s="128"/>
      <c r="O145" s="128"/>
    </row>
    <row r="146" spans="1:15">
      <c r="A146" s="326" t="s">
        <v>40</v>
      </c>
      <c r="B146" s="327" t="s">
        <v>292</v>
      </c>
      <c r="C146" s="327" t="s">
        <v>293</v>
      </c>
      <c r="D146" s="327" t="s">
        <v>294</v>
      </c>
      <c r="E146" s="327" t="s">
        <v>295</v>
      </c>
      <c r="F146" s="327" t="s">
        <v>296</v>
      </c>
      <c r="G146" s="327" t="s">
        <v>297</v>
      </c>
      <c r="H146" s="327" t="s">
        <v>298</v>
      </c>
      <c r="I146" s="328" t="s">
        <v>299</v>
      </c>
      <c r="K146" s="128"/>
      <c r="L146" s="128"/>
      <c r="M146" s="128"/>
      <c r="N146" s="128"/>
      <c r="O146" s="128"/>
    </row>
    <row r="147" spans="1:15">
      <c r="A147" s="317" t="s">
        <v>41</v>
      </c>
      <c r="B147" s="166">
        <f>((B92*B119)+(B93*B121))/B128</f>
        <v>7712.0803673287091</v>
      </c>
      <c r="C147" s="166">
        <f t="shared" ref="C147:I147" si="85">((C92*C119)+(C93*C121))/C128</f>
        <v>14347.848725177952</v>
      </c>
      <c r="D147" s="166">
        <f t="shared" si="85"/>
        <v>20478.390892161766</v>
      </c>
      <c r="E147" s="166">
        <f t="shared" si="85"/>
        <v>26284.330863952342</v>
      </c>
      <c r="F147" s="166">
        <f t="shared" si="85"/>
        <v>28460.948338354523</v>
      </c>
      <c r="G147" s="166">
        <f t="shared" si="85"/>
        <v>32538.618986168214</v>
      </c>
      <c r="H147" s="166">
        <f t="shared" si="85"/>
        <v>36198.70895381576</v>
      </c>
      <c r="I147" s="322">
        <f t="shared" si="85"/>
        <v>39676.838839373348</v>
      </c>
      <c r="K147" s="128"/>
      <c r="L147" s="181"/>
      <c r="M147" s="181"/>
      <c r="N147" s="128"/>
      <c r="O147" s="128"/>
    </row>
    <row r="148" spans="1:15">
      <c r="A148" s="318" t="s">
        <v>142</v>
      </c>
      <c r="B148" s="53">
        <f>((B92*B118)+(B93*B120))/B129</f>
        <v>2031.4254178942599</v>
      </c>
      <c r="C148" s="53">
        <f t="shared" ref="C148:I148" si="86">((C92*C118)+(C93*C120))/C129</f>
        <v>4153.6076138830413</v>
      </c>
      <c r="D148" s="53">
        <f t="shared" si="86"/>
        <v>6287.6203834533981</v>
      </c>
      <c r="E148" s="53">
        <f t="shared" si="86"/>
        <v>8483.2473723295934</v>
      </c>
      <c r="F148" s="53">
        <f t="shared" si="86"/>
        <v>14126.712454923143</v>
      </c>
      <c r="G148" s="53">
        <f t="shared" si="86"/>
        <v>16903.909005546564</v>
      </c>
      <c r="H148" s="53">
        <f t="shared" si="86"/>
        <v>19663.490948551633</v>
      </c>
      <c r="I148" s="323">
        <f t="shared" si="86"/>
        <v>22525.167428864272</v>
      </c>
      <c r="J148" s="121"/>
      <c r="K148" s="128"/>
      <c r="L148" s="180"/>
      <c r="M148" s="180"/>
      <c r="N148" s="128"/>
      <c r="O148" s="128"/>
    </row>
    <row r="149" spans="1:15">
      <c r="A149" s="318" t="s">
        <v>42</v>
      </c>
      <c r="B149" s="53">
        <f>((B130*B95)/B139)+(B131*B95/B145)</f>
        <v>35056.97532009265</v>
      </c>
      <c r="C149" s="53">
        <f t="shared" ref="C149:I149" si="87">((C130*C95)/C139)+(C131*C95/C145)</f>
        <v>41962.929174672114</v>
      </c>
      <c r="D149" s="53">
        <f t="shared" si="87"/>
        <v>48302.283525387538</v>
      </c>
      <c r="E149" s="53">
        <f t="shared" si="87"/>
        <v>54574.734121105575</v>
      </c>
      <c r="F149" s="53">
        <f t="shared" si="87"/>
        <v>57296.100761322145</v>
      </c>
      <c r="G149" s="53">
        <f t="shared" si="87"/>
        <v>61775.624946778298</v>
      </c>
      <c r="H149" s="53">
        <f t="shared" si="87"/>
        <v>65895.095646304064</v>
      </c>
      <c r="I149" s="323">
        <f t="shared" si="87"/>
        <v>70112.630702096707</v>
      </c>
      <c r="K149" s="180"/>
      <c r="L149" s="181"/>
      <c r="M149" s="181"/>
      <c r="N149" s="128"/>
      <c r="O149" s="128"/>
    </row>
    <row r="150" spans="1:15">
      <c r="A150" s="318" t="s">
        <v>43</v>
      </c>
      <c r="B150" s="53">
        <f>((B96*B123))/B128</f>
        <v>0</v>
      </c>
      <c r="C150" s="53">
        <f t="shared" ref="C150:I150" si="88">((C96*C123))/C128</f>
        <v>0</v>
      </c>
      <c r="D150" s="53">
        <f t="shared" si="88"/>
        <v>513.49699932306828</v>
      </c>
      <c r="E150" s="53">
        <f t="shared" si="88"/>
        <v>621.78517578277103</v>
      </c>
      <c r="F150" s="53">
        <f t="shared" si="88"/>
        <v>718.1664237058452</v>
      </c>
      <c r="G150" s="53">
        <f t="shared" si="88"/>
        <v>805.79569161014933</v>
      </c>
      <c r="H150" s="53">
        <f t="shared" si="88"/>
        <v>884.21188270820392</v>
      </c>
      <c r="I150" s="323">
        <f t="shared" si="88"/>
        <v>959.06561452443316</v>
      </c>
      <c r="J150" s="68"/>
      <c r="K150" s="179"/>
      <c r="L150" s="180"/>
      <c r="M150" s="180"/>
      <c r="N150" s="128"/>
      <c r="O150" s="128"/>
    </row>
    <row r="151" spans="1:15">
      <c r="A151" s="318" t="s">
        <v>143</v>
      </c>
      <c r="B151" s="53">
        <f>((B96*B122))/B129</f>
        <v>0</v>
      </c>
      <c r="C151" s="53">
        <f t="shared" ref="C151:I151" si="89">((C96*C122))/C129</f>
        <v>0</v>
      </c>
      <c r="D151" s="53">
        <f t="shared" si="89"/>
        <v>0</v>
      </c>
      <c r="E151" s="53">
        <f t="shared" si="89"/>
        <v>0</v>
      </c>
      <c r="F151" s="53">
        <f t="shared" si="89"/>
        <v>0</v>
      </c>
      <c r="G151" s="53">
        <f t="shared" si="89"/>
        <v>0</v>
      </c>
      <c r="H151" s="53">
        <f t="shared" si="89"/>
        <v>0</v>
      </c>
      <c r="I151" s="323">
        <f t="shared" si="89"/>
        <v>0</v>
      </c>
      <c r="J151" s="68"/>
      <c r="K151" s="179"/>
      <c r="L151" s="182"/>
      <c r="M151" s="182"/>
      <c r="N151" s="128"/>
      <c r="O151" s="128"/>
    </row>
    <row r="152" spans="1:15">
      <c r="A152" s="318" t="s">
        <v>44</v>
      </c>
      <c r="B152" s="53">
        <f>((B132*B97)/B139)+(B133*B97/B145)</f>
        <v>0</v>
      </c>
      <c r="C152" s="53">
        <f t="shared" ref="C152:I152" si="90">((C132*C97)/C139)+(C133*C97/C145)</f>
        <v>0</v>
      </c>
      <c r="D152" s="53">
        <f t="shared" si="90"/>
        <v>7170.1715149379661</v>
      </c>
      <c r="E152" s="53">
        <f t="shared" si="90"/>
        <v>8814.7844925922545</v>
      </c>
      <c r="F152" s="53">
        <f t="shared" si="90"/>
        <v>9150.262400240008</v>
      </c>
      <c r="G152" s="53">
        <f t="shared" si="90"/>
        <v>10414.471446924386</v>
      </c>
      <c r="H152" s="53">
        <f t="shared" si="90"/>
        <v>11589.184051594741</v>
      </c>
      <c r="I152" s="323">
        <f t="shared" si="90"/>
        <v>12750.071133565996</v>
      </c>
      <c r="J152" s="68"/>
      <c r="K152" s="179"/>
      <c r="L152" s="180"/>
      <c r="M152" s="180"/>
      <c r="N152" s="128"/>
      <c r="O152" s="128"/>
    </row>
    <row r="153" spans="1:15">
      <c r="A153" s="318" t="s">
        <v>204</v>
      </c>
      <c r="B153" s="53">
        <f>B147+B150</f>
        <v>7712.0803673287091</v>
      </c>
      <c r="C153" s="53">
        <f t="shared" ref="C153:I153" si="91">C147+C150</f>
        <v>14347.848725177952</v>
      </c>
      <c r="D153" s="53">
        <f t="shared" si="91"/>
        <v>20991.887891484836</v>
      </c>
      <c r="E153" s="53">
        <f t="shared" si="91"/>
        <v>26906.116039735112</v>
      </c>
      <c r="F153" s="53">
        <f t="shared" si="91"/>
        <v>29179.11476206037</v>
      </c>
      <c r="G153" s="53">
        <f t="shared" si="91"/>
        <v>33344.414677778361</v>
      </c>
      <c r="H153" s="53">
        <f t="shared" si="91"/>
        <v>37082.920836523961</v>
      </c>
      <c r="I153" s="323">
        <f t="shared" si="91"/>
        <v>40635.904453897783</v>
      </c>
      <c r="J153" s="68"/>
      <c r="K153" s="179"/>
      <c r="L153" s="183"/>
      <c r="M153" s="183"/>
      <c r="N153" s="128"/>
      <c r="O153" s="128"/>
    </row>
    <row r="154" spans="1:15" ht="14.25" customHeight="1">
      <c r="A154" s="318" t="s">
        <v>206</v>
      </c>
      <c r="B154" s="53">
        <f>B148+B151</f>
        <v>2031.4254178942599</v>
      </c>
      <c r="C154" s="53">
        <f t="shared" ref="C154:I155" si="92">C148+C151</f>
        <v>4153.6076138830413</v>
      </c>
      <c r="D154" s="53">
        <f t="shared" si="92"/>
        <v>6287.6203834533981</v>
      </c>
      <c r="E154" s="53">
        <f t="shared" si="92"/>
        <v>8483.2473723295934</v>
      </c>
      <c r="F154" s="53">
        <f t="shared" si="92"/>
        <v>14126.712454923143</v>
      </c>
      <c r="G154" s="53">
        <f t="shared" si="92"/>
        <v>16903.909005546564</v>
      </c>
      <c r="H154" s="53">
        <f t="shared" si="92"/>
        <v>19663.490948551633</v>
      </c>
      <c r="I154" s="323">
        <f t="shared" si="92"/>
        <v>22525.167428864272</v>
      </c>
      <c r="J154" s="68"/>
      <c r="K154" s="128"/>
      <c r="L154" s="180"/>
      <c r="M154" s="180"/>
      <c r="N154" s="128"/>
      <c r="O154" s="128"/>
    </row>
    <row r="155" spans="1:15">
      <c r="A155" s="318" t="s">
        <v>205</v>
      </c>
      <c r="B155" s="53">
        <f>B149+B152</f>
        <v>35056.97532009265</v>
      </c>
      <c r="C155" s="53">
        <f t="shared" si="92"/>
        <v>41962.929174672114</v>
      </c>
      <c r="D155" s="53">
        <f t="shared" si="92"/>
        <v>55472.455040325505</v>
      </c>
      <c r="E155" s="53">
        <f t="shared" si="92"/>
        <v>63389.51861369783</v>
      </c>
      <c r="F155" s="53">
        <f t="shared" si="92"/>
        <v>66446.363161562156</v>
      </c>
      <c r="G155" s="53">
        <f t="shared" si="92"/>
        <v>72190.096393702683</v>
      </c>
      <c r="H155" s="53">
        <f t="shared" si="92"/>
        <v>77484.279697898804</v>
      </c>
      <c r="I155" s="323">
        <f t="shared" si="92"/>
        <v>82862.701835662709</v>
      </c>
      <c r="J155" s="68"/>
      <c r="K155" s="179"/>
      <c r="L155" s="128"/>
      <c r="M155" s="128"/>
      <c r="N155" s="128"/>
      <c r="O155" s="128"/>
    </row>
    <row r="156" spans="1:15">
      <c r="A156" s="318" t="s">
        <v>229</v>
      </c>
      <c r="B156" s="168">
        <f t="shared" ref="B156:I156" si="93">SUM(B153:B155)/(B8+B9)</f>
        <v>2.3355179562388428E-2</v>
      </c>
      <c r="C156" s="168">
        <f t="shared" si="93"/>
        <v>3.0832276168732849E-2</v>
      </c>
      <c r="D156" s="168">
        <f t="shared" si="93"/>
        <v>4.2396225289574353E-2</v>
      </c>
      <c r="E156" s="168">
        <f t="shared" si="93"/>
        <v>5.0699810286784948E-2</v>
      </c>
      <c r="F156" s="168">
        <f t="shared" si="93"/>
        <v>5.6578478623361093E-2</v>
      </c>
      <c r="G156" s="168">
        <f t="shared" si="93"/>
        <v>6.3298146163166397E-2</v>
      </c>
      <c r="H156" s="168">
        <f t="shared" si="93"/>
        <v>6.9598265212907795E-2</v>
      </c>
      <c r="I156" s="324">
        <f t="shared" si="93"/>
        <v>7.5536124138948738E-2</v>
      </c>
      <c r="J156" s="68"/>
      <c r="K156" s="128"/>
      <c r="L156" s="180"/>
      <c r="M156" s="180"/>
      <c r="N156" s="128"/>
      <c r="O156" s="128"/>
    </row>
    <row r="157" spans="1:15">
      <c r="A157" s="319" t="s">
        <v>45</v>
      </c>
      <c r="B157" s="55">
        <f t="shared" ref="B157:I157" si="94">B18/B128</f>
        <v>13606.900094473634</v>
      </c>
      <c r="C157" s="55">
        <f t="shared" si="94"/>
        <v>26737.744893326315</v>
      </c>
      <c r="D157" s="55">
        <f t="shared" si="94"/>
        <v>38349.55171869749</v>
      </c>
      <c r="E157" s="55">
        <f t="shared" si="94"/>
        <v>49016.674226233947</v>
      </c>
      <c r="F157" s="55">
        <f t="shared" si="94"/>
        <v>58566.845251922859</v>
      </c>
      <c r="G157" s="55">
        <f t="shared" si="94"/>
        <v>67259.247201746926</v>
      </c>
      <c r="H157" s="55">
        <f t="shared" si="94"/>
        <v>75066.21317706423</v>
      </c>
      <c r="I157" s="125">
        <f t="shared" si="94"/>
        <v>82478.424942789643</v>
      </c>
      <c r="J157" s="68"/>
      <c r="K157" s="179"/>
      <c r="L157" s="128"/>
      <c r="M157" s="128"/>
      <c r="N157" s="128"/>
      <c r="O157" s="128"/>
    </row>
    <row r="158" spans="1:15">
      <c r="A158" s="319" t="s">
        <v>228</v>
      </c>
      <c r="B158" s="55">
        <f t="shared" ref="B158:I158" si="95">(B19+B21)/((B139+B145)/2)</f>
        <v>60778.122846696147</v>
      </c>
      <c r="C158" s="55">
        <f t="shared" si="95"/>
        <v>74995.770659473681</v>
      </c>
      <c r="D158" s="55">
        <f t="shared" si="95"/>
        <v>86707.340620089861</v>
      </c>
      <c r="E158" s="55">
        <f t="shared" si="95"/>
        <v>97862.151708334713</v>
      </c>
      <c r="F158" s="55">
        <f t="shared" si="95"/>
        <v>107982.3284279199</v>
      </c>
      <c r="G158" s="55">
        <f t="shared" si="95"/>
        <v>117486.37276956798</v>
      </c>
      <c r="H158" s="55">
        <f t="shared" si="95"/>
        <v>126231.76779009012</v>
      </c>
      <c r="I158" s="125">
        <f t="shared" si="95"/>
        <v>135229.66643473841</v>
      </c>
      <c r="J158" s="68"/>
      <c r="K158" s="184"/>
      <c r="L158" s="128"/>
      <c r="M158" s="128"/>
      <c r="N158" s="128"/>
      <c r="O158" s="128"/>
    </row>
    <row r="159" spans="1:15">
      <c r="A159" s="320" t="s">
        <v>144</v>
      </c>
      <c r="B159" s="56">
        <v>2942.7530006208181</v>
      </c>
      <c r="C159" s="56">
        <v>6214.9214183552713</v>
      </c>
      <c r="D159" s="56">
        <v>10625.561413614027</v>
      </c>
      <c r="E159" s="56">
        <v>15422.188286359504</v>
      </c>
      <c r="F159" s="56">
        <v>21638.535191738352</v>
      </c>
      <c r="G159" s="56">
        <v>27766.479055047454</v>
      </c>
      <c r="H159" s="56">
        <v>35174.115178757922</v>
      </c>
      <c r="I159" s="313">
        <v>43588.861173271893</v>
      </c>
      <c r="J159" s="68"/>
      <c r="K159" s="184"/>
      <c r="L159" s="128"/>
      <c r="M159" s="128"/>
      <c r="N159" s="128"/>
      <c r="O159" s="128"/>
    </row>
    <row r="160" spans="1:15">
      <c r="A160" s="320" t="s">
        <v>46</v>
      </c>
      <c r="B160" s="56">
        <v>13872.978431498137</v>
      </c>
      <c r="C160" s="56">
        <v>27250.040065096186</v>
      </c>
      <c r="D160" s="56">
        <v>37672.445011904281</v>
      </c>
      <c r="E160" s="56">
        <v>46266.564859078513</v>
      </c>
      <c r="F160" s="56">
        <v>52550.728322793148</v>
      </c>
      <c r="G160" s="56">
        <v>59499.5979751017</v>
      </c>
      <c r="H160" s="56">
        <v>64230.992935123162</v>
      </c>
      <c r="I160" s="313">
        <v>65383.291759907828</v>
      </c>
      <c r="J160" s="68"/>
      <c r="K160" s="184"/>
      <c r="L160" s="128"/>
      <c r="M160" s="128"/>
      <c r="N160" s="128"/>
      <c r="O160" s="128"/>
    </row>
    <row r="161" spans="1:15">
      <c r="A161" s="320" t="s">
        <v>47</v>
      </c>
      <c r="B161" s="56">
        <v>61259.290151869347</v>
      </c>
      <c r="C161" s="56">
        <v>75263.168617092844</v>
      </c>
      <c r="D161" s="56">
        <v>89095.473277622048</v>
      </c>
      <c r="E161" s="56">
        <v>101895.99722970306</v>
      </c>
      <c r="F161" s="56">
        <v>116390.81417475773</v>
      </c>
      <c r="G161" s="56">
        <v>131157.96439654613</v>
      </c>
      <c r="H161" s="56">
        <v>146905.85625489202</v>
      </c>
      <c r="I161" s="313">
        <v>161682.84737845772</v>
      </c>
      <c r="J161" s="68"/>
      <c r="K161" s="184"/>
      <c r="L161" s="128"/>
      <c r="M161" s="128"/>
      <c r="N161" s="128"/>
      <c r="O161" s="128"/>
    </row>
    <row r="162" spans="1:15">
      <c r="A162" s="321" t="s">
        <v>48</v>
      </c>
      <c r="B162" s="167">
        <f>SUM(B159:B161)</f>
        <v>78075.021583988302</v>
      </c>
      <c r="C162" s="167">
        <f t="shared" ref="C162:I162" si="96">SUM(C159:C161)</f>
        <v>108728.13010054431</v>
      </c>
      <c r="D162" s="167">
        <f t="shared" si="96"/>
        <v>137393.47970314036</v>
      </c>
      <c r="E162" s="167">
        <f t="shared" si="96"/>
        <v>163584.75037514107</v>
      </c>
      <c r="F162" s="167">
        <f t="shared" si="96"/>
        <v>190580.07768928923</v>
      </c>
      <c r="G162" s="167">
        <f t="shared" si="96"/>
        <v>218424.0414266953</v>
      </c>
      <c r="H162" s="167">
        <f t="shared" si="96"/>
        <v>246310.9643687731</v>
      </c>
      <c r="I162" s="325">
        <f t="shared" si="96"/>
        <v>270655.00031163741</v>
      </c>
      <c r="J162" s="68"/>
      <c r="K162" s="184"/>
      <c r="L162" s="128"/>
      <c r="M162" s="128"/>
      <c r="N162" s="128"/>
      <c r="O162" s="128"/>
    </row>
    <row r="163" spans="1:15">
      <c r="A163" s="314" t="s">
        <v>49</v>
      </c>
      <c r="B163" s="315" t="s">
        <v>292</v>
      </c>
      <c r="C163" s="315" t="s">
        <v>293</v>
      </c>
      <c r="D163" s="315" t="s">
        <v>294</v>
      </c>
      <c r="E163" s="315" t="s">
        <v>295</v>
      </c>
      <c r="F163" s="315" t="s">
        <v>296</v>
      </c>
      <c r="G163" s="315" t="s">
        <v>297</v>
      </c>
      <c r="H163" s="315" t="s">
        <v>298</v>
      </c>
      <c r="I163" s="316" t="s">
        <v>299</v>
      </c>
      <c r="J163" s="68"/>
      <c r="K163" s="179"/>
      <c r="L163" s="128"/>
      <c r="M163" s="128"/>
      <c r="N163" s="128"/>
      <c r="O163" s="128"/>
    </row>
    <row r="164" spans="1:15">
      <c r="A164" s="24" t="s">
        <v>41</v>
      </c>
      <c r="B164" s="25">
        <f>(B111-(B148*B129*1.3))/B128</f>
        <v>6107.6277479813052</v>
      </c>
      <c r="C164" s="25">
        <f t="shared" ref="C164:I164" si="97">(C111-(C148*C129*1.3))/C128</f>
        <v>13817.16235998316</v>
      </c>
      <c r="D164" s="25">
        <f t="shared" si="97"/>
        <v>23590.415016933624</v>
      </c>
      <c r="E164" s="25">
        <f t="shared" si="97"/>
        <v>35517.903276912715</v>
      </c>
      <c r="F164" s="25">
        <f t="shared" si="97"/>
        <v>38572.866503395628</v>
      </c>
      <c r="G164" s="25">
        <f t="shared" si="97"/>
        <v>44058.344012177367</v>
      </c>
      <c r="H164" s="25">
        <f t="shared" si="97"/>
        <v>48981.430122211605</v>
      </c>
      <c r="I164" s="308">
        <f t="shared" si="97"/>
        <v>53660.66813498237</v>
      </c>
      <c r="J164" s="180"/>
      <c r="K164" s="179"/>
      <c r="L164" s="128"/>
      <c r="M164" s="128"/>
      <c r="N164" s="128"/>
      <c r="O164" s="128"/>
    </row>
    <row r="165" spans="1:15">
      <c r="A165" s="24" t="s">
        <v>42</v>
      </c>
      <c r="B165" s="25">
        <f>(B112*B130)/B138+(B131*B112)/B145</f>
        <v>53003.807181448559</v>
      </c>
      <c r="C165" s="25">
        <f t="shared" ref="C165:I165" si="98">(C112*C130)/C138+(C131*C112)/C145</f>
        <v>69719.943456715584</v>
      </c>
      <c r="D165" s="25">
        <f t="shared" si="98"/>
        <v>79979.27454302118</v>
      </c>
      <c r="E165" s="25">
        <f t="shared" si="98"/>
        <v>90066.379003425958</v>
      </c>
      <c r="F165" s="25">
        <f t="shared" si="98"/>
        <v>93673.86785993287</v>
      </c>
      <c r="G165" s="25">
        <f t="shared" si="98"/>
        <v>100997.478909344</v>
      </c>
      <c r="H165" s="25">
        <f t="shared" si="98"/>
        <v>107732.43554396261</v>
      </c>
      <c r="I165" s="308">
        <f t="shared" si="98"/>
        <v>114627.71840372833</v>
      </c>
      <c r="J165" s="67"/>
      <c r="K165" s="67"/>
    </row>
    <row r="166" spans="1:15">
      <c r="A166" s="24" t="s">
        <v>43</v>
      </c>
      <c r="B166" s="25">
        <f>(B113-(B151*B129*1.3))/B128</f>
        <v>413.12539767929138</v>
      </c>
      <c r="C166" s="25">
        <f t="shared" ref="C166:I166" si="99">(C113-(C151*C129*1.3))/C128</f>
        <v>631.39771331592578</v>
      </c>
      <c r="D166" s="25">
        <f t="shared" si="99"/>
        <v>2662.9081586387938</v>
      </c>
      <c r="E166" s="25">
        <f t="shared" si="99"/>
        <v>3224.4722358559939</v>
      </c>
      <c r="F166" s="25">
        <f t="shared" si="99"/>
        <v>3724.2890055206353</v>
      </c>
      <c r="G166" s="25">
        <f t="shared" si="99"/>
        <v>4178.7194943950299</v>
      </c>
      <c r="H166" s="25">
        <f t="shared" si="99"/>
        <v>4585.3725329126146</v>
      </c>
      <c r="I166" s="308">
        <f t="shared" si="99"/>
        <v>4973.5512631111715</v>
      </c>
      <c r="J166" s="67"/>
      <c r="K166" s="67"/>
    </row>
    <row r="167" spans="1:15">
      <c r="A167" s="24" t="s">
        <v>44</v>
      </c>
      <c r="B167" s="25">
        <f t="shared" ref="B167:I167" si="100">(B114*B132)/B139+(B114*B133)/B145</f>
        <v>1864.1024041626565</v>
      </c>
      <c r="C167" s="25">
        <f t="shared" si="100"/>
        <v>2893.9061860313263</v>
      </c>
      <c r="D167" s="25">
        <f t="shared" si="100"/>
        <v>12394.430250574875</v>
      </c>
      <c r="E167" s="25">
        <f t="shared" si="100"/>
        <v>15237.324705506573</v>
      </c>
      <c r="F167" s="25">
        <f t="shared" si="100"/>
        <v>15817.23517463359</v>
      </c>
      <c r="G167" s="25">
        <f t="shared" si="100"/>
        <v>18002.559586836429</v>
      </c>
      <c r="H167" s="25">
        <f t="shared" si="100"/>
        <v>20033.179553558908</v>
      </c>
      <c r="I167" s="308">
        <f t="shared" si="100"/>
        <v>22039.900583357128</v>
      </c>
      <c r="J167" s="67"/>
      <c r="K167" s="68"/>
    </row>
    <row r="168" spans="1:15">
      <c r="A168" s="24" t="s">
        <v>204</v>
      </c>
      <c r="B168" s="25">
        <f>B164+B166</f>
        <v>6520.7531456605966</v>
      </c>
      <c r="C168" s="25">
        <f t="shared" ref="C168:I169" si="101">C164+C166</f>
        <v>14448.560073299086</v>
      </c>
      <c r="D168" s="25">
        <f t="shared" si="101"/>
        <v>26253.323175572419</v>
      </c>
      <c r="E168" s="25">
        <f t="shared" si="101"/>
        <v>38742.375512768711</v>
      </c>
      <c r="F168" s="25">
        <f t="shared" si="101"/>
        <v>42297.155508916265</v>
      </c>
      <c r="G168" s="25">
        <f t="shared" si="101"/>
        <v>48237.063506572398</v>
      </c>
      <c r="H168" s="25">
        <f t="shared" si="101"/>
        <v>53566.802655124222</v>
      </c>
      <c r="I168" s="308">
        <f t="shared" si="101"/>
        <v>58634.219398093541</v>
      </c>
      <c r="J168" s="67"/>
      <c r="K168" s="68"/>
    </row>
    <row r="169" spans="1:15">
      <c r="A169" s="58" t="s">
        <v>205</v>
      </c>
      <c r="B169" s="59">
        <f>B165+B167</f>
        <v>54867.909585611218</v>
      </c>
      <c r="C169" s="59">
        <f t="shared" si="101"/>
        <v>72613.849642746907</v>
      </c>
      <c r="D169" s="59">
        <f t="shared" si="101"/>
        <v>92373.704793596058</v>
      </c>
      <c r="E169" s="25">
        <f t="shared" si="101"/>
        <v>105303.70370893253</v>
      </c>
      <c r="F169" s="25">
        <f t="shared" si="101"/>
        <v>109491.10303456646</v>
      </c>
      <c r="G169" s="25">
        <f t="shared" si="101"/>
        <v>119000.03849618044</v>
      </c>
      <c r="H169" s="25">
        <f t="shared" si="101"/>
        <v>127765.61509752151</v>
      </c>
      <c r="I169" s="308">
        <f t="shared" si="101"/>
        <v>136667.61898708547</v>
      </c>
      <c r="J169" s="68"/>
      <c r="K169" s="68"/>
    </row>
    <row r="170" spans="1:15" s="118" customFormat="1" ht="14.25" customHeight="1">
      <c r="A170" s="24" t="s">
        <v>230</v>
      </c>
      <c r="B170" s="175">
        <f t="shared" ref="B170:I170" si="102">(SUM(B168:B169))/B4</f>
        <v>2.400214025291417E-2</v>
      </c>
      <c r="C170" s="175">
        <f t="shared" si="102"/>
        <v>3.3296446794338318E-2</v>
      </c>
      <c r="D170" s="175">
        <f t="shared" si="102"/>
        <v>4.5582044235491573E-2</v>
      </c>
      <c r="E170" s="175">
        <f t="shared" si="102"/>
        <v>5.5450431858431473E-2</v>
      </c>
      <c r="F170" s="175">
        <f t="shared" si="102"/>
        <v>5.868640556278875E-2</v>
      </c>
      <c r="G170" s="175">
        <f t="shared" si="102"/>
        <v>6.4843607830460517E-2</v>
      </c>
      <c r="H170" s="175">
        <f t="shared" si="102"/>
        <v>7.0515291043072553E-2</v>
      </c>
      <c r="I170" s="311">
        <f t="shared" si="102"/>
        <v>7.5770250623407809E-2</v>
      </c>
      <c r="J170" s="68"/>
      <c r="K170" s="68"/>
    </row>
    <row r="171" spans="1:15">
      <c r="A171" s="173" t="s">
        <v>50</v>
      </c>
      <c r="B171" s="174">
        <f>B30/B128</f>
        <v>11849.587103566977</v>
      </c>
      <c r="C171" s="174">
        <f t="shared" ref="C171:I171" si="103">C30/C128</f>
        <v>27238.589635824093</v>
      </c>
      <c r="D171" s="174">
        <f t="shared" si="103"/>
        <v>44739.053552605321</v>
      </c>
      <c r="E171" s="55">
        <f t="shared" si="103"/>
        <v>64432.054573666115</v>
      </c>
      <c r="F171" s="55">
        <f t="shared" si="103"/>
        <v>76985.683526029898</v>
      </c>
      <c r="G171" s="55">
        <f t="shared" si="103"/>
        <v>88411.781392693301</v>
      </c>
      <c r="H171" s="55">
        <f t="shared" si="103"/>
        <v>98673.98024067597</v>
      </c>
      <c r="I171" s="125">
        <f t="shared" si="103"/>
        <v>108417.27760916991</v>
      </c>
      <c r="J171" s="68"/>
      <c r="K171" s="68"/>
    </row>
    <row r="172" spans="1:15">
      <c r="A172" s="54" t="s">
        <v>51</v>
      </c>
      <c r="B172" s="60">
        <f>(B33+B31)/((B139+B145)/2)</f>
        <v>75437.005557096185</v>
      </c>
      <c r="C172" s="60">
        <f t="shared" ref="C172:I172" si="104">(C33+C31)/((C139+C145)/2)</f>
        <v>101624.17022531117</v>
      </c>
      <c r="D172" s="60">
        <f t="shared" si="104"/>
        <v>117980.280136822</v>
      </c>
      <c r="E172" s="60">
        <f t="shared" si="104"/>
        <v>133554.58344535236</v>
      </c>
      <c r="F172" s="60">
        <f t="shared" si="104"/>
        <v>147696.38191268084</v>
      </c>
      <c r="G172" s="60">
        <f t="shared" si="104"/>
        <v>160977.32024568287</v>
      </c>
      <c r="H172" s="60">
        <f t="shared" si="104"/>
        <v>173203.18779969579</v>
      </c>
      <c r="I172" s="122">
        <f t="shared" si="104"/>
        <v>185763.17517397023</v>
      </c>
      <c r="J172" s="68"/>
      <c r="K172" s="67"/>
    </row>
    <row r="173" spans="1:15">
      <c r="A173" s="57" t="s">
        <v>145</v>
      </c>
      <c r="B173" s="57">
        <v>0</v>
      </c>
      <c r="C173" s="57">
        <v>0</v>
      </c>
      <c r="D173" s="57">
        <v>0</v>
      </c>
      <c r="E173" s="57">
        <v>0</v>
      </c>
      <c r="F173" s="57">
        <v>0</v>
      </c>
      <c r="G173" s="57">
        <v>0</v>
      </c>
      <c r="H173" s="57">
        <v>0</v>
      </c>
      <c r="I173" s="312">
        <v>0</v>
      </c>
      <c r="J173" s="67"/>
      <c r="K173" s="67"/>
    </row>
    <row r="174" spans="1:15">
      <c r="A174" s="57" t="s">
        <v>52</v>
      </c>
      <c r="B174" s="56">
        <v>27745.956862996274</v>
      </c>
      <c r="C174" s="56">
        <v>54500.080130192371</v>
      </c>
      <c r="D174" s="56">
        <v>75344.890023808563</v>
      </c>
      <c r="E174" s="56">
        <v>92533.129718157026</v>
      </c>
      <c r="F174" s="56">
        <v>105101.4566455863</v>
      </c>
      <c r="G174" s="56">
        <v>118999.1959502034</v>
      </c>
      <c r="H174" s="56">
        <v>128461.98587024632</v>
      </c>
      <c r="I174" s="313">
        <v>130766.58351981566</v>
      </c>
      <c r="J174" s="67"/>
      <c r="K174" s="67"/>
    </row>
    <row r="175" spans="1:15">
      <c r="A175" s="169" t="s">
        <v>53</v>
      </c>
      <c r="B175" s="56">
        <v>122518.58030373869</v>
      </c>
      <c r="C175" s="56">
        <v>150526.33723418569</v>
      </c>
      <c r="D175" s="56">
        <v>178190.9465552441</v>
      </c>
      <c r="E175" s="56">
        <v>203791.99445940612</v>
      </c>
      <c r="F175" s="56">
        <v>232781.62834951546</v>
      </c>
      <c r="G175" s="56">
        <v>262315.92879309226</v>
      </c>
      <c r="H175" s="56">
        <v>293811.71250978403</v>
      </c>
      <c r="I175" s="313">
        <v>323365.69475691544</v>
      </c>
    </row>
    <row r="176" spans="1:15">
      <c r="A176" s="283" t="s">
        <v>302</v>
      </c>
    </row>
  </sheetData>
  <dataValidations count="11">
    <dataValidation type="list" allowBlank="1" showInputMessage="1" showErrorMessage="1" sqref="B142:I142 B136:I136">
      <formula1>"YES,NO"</formula1>
    </dataValidation>
    <dataValidation allowBlank="1" showInputMessage="1" showErrorMessage="1" promptTitle="IVM ZEV Credits" prompt="IVM (only) MY 2014 ZEV + BEVx credits, found here: http://www.arb.ca.gov/msprog/zevprog/zevcredits/2014zevcredits.htm " sqref="E64"/>
    <dataValidation allowBlank="1" showInputMessage="1" showErrorMessage="1" promptTitle="ZEV Credit % Requirement" prompt="See CCR 1962.2(b)(1)(A), (b)(2)(E), and (b)(3) for annual credit percentage requirements for large and intermediate volume manufacturers." sqref="A14"/>
    <dataValidation allowBlank="1" showInputMessage="1" showErrorMessage="1" promptTitle="GHG-ZEV Over Compliance" prompt="See CCR 1962.2 (g)(6)(C) for more information related to the GHG-ZEV Over Compliance provision, which allows manufacturers to overcomply with GHG fleet standards and have a lessened ZEV requirement for 2018-2021 model years.  " sqref="A35 A38"/>
    <dataValidation allowBlank="1" showInputMessage="1" showErrorMessage="1" promptTitle=" PZEV, AT PZEV and NEV Credits" prompt="See CCR 1962.2 (g)(6)(A) for more information about the cap related to historical PZEV and AT PZEV credits, as well as historical and new NEV credits." sqref="A50 A53"/>
    <dataValidation allowBlank="1" showInputMessage="1" showErrorMessage="1" promptTitle="S177 State Optional Compliance " prompt="See CCR 1962.1 and 1962.2 (d)(5)(E) for details regarding requirements and rules for the S177 States Optional Compliance Path." sqref="A24"/>
    <dataValidation allowBlank="1" showInputMessage="1" showErrorMessage="1" prompt="See &quot;Sales-Mkt Shares Reference&quot; tab for data sources for cells A1-J12." sqref="A2"/>
    <dataValidation allowBlank="1" showInputMessage="1" showErrorMessage="1" prompt="Input for this cell can be found on the &quot;Scenarios&quot; tab" sqref="B140:I140 B134:I134 B130:I130 B120:I120 B124:I124"/>
    <dataValidation allowBlank="1" showInputMessage="1" showErrorMessage="1" promptTitle="Travel Provision Accounting" prompt="See CCR 1962.2 (e)(5)(D) for how the travel provision works for FCEVs.  For the purposes of this calculator, FCEVs are assumed to be placed in CA, and to travel to the S177 state for complaince, and credits are taken into account in this final number.  " sqref="A164"/>
    <dataValidation type="list" allowBlank="1" showInputMessage="1" showErrorMessage="1" sqref="G74 D74:D75">
      <formula1>$K$61:$K$66</formula1>
    </dataValidation>
    <dataValidation type="list" allowBlank="1" showInputMessage="1" showErrorMessage="1" sqref="G64 D64:D65">
      <formula1>#REF!</formula1>
    </dataValidation>
  </dataValidations>
  <printOptions headings="1"/>
  <pageMargins left="0.25" right="0.25" top="0.5" bottom="0.25" header="0.3" footer="0.3"/>
  <pageSetup scale="86" fitToWidth="2" fitToHeight="4" pageOrder="overThenDown" orientation="landscape" r:id="rId1"/>
  <drawing r:id="rId2"/>
  <tableParts count="21">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9" tint="0.39997558519241921"/>
    <pageSetUpPr fitToPage="1"/>
  </sheetPr>
  <dimension ref="A1:Q176"/>
  <sheetViews>
    <sheetView topLeftCell="A106" zoomScale="90" zoomScaleNormal="90" workbookViewId="0">
      <selection activeCell="F134" sqref="F134"/>
    </sheetView>
  </sheetViews>
  <sheetFormatPr defaultRowHeight="15"/>
  <cols>
    <col min="1" max="1" width="88.140625" style="118" customWidth="1"/>
    <col min="2" max="8" width="13.5703125" customWidth="1"/>
    <col min="9" max="9" width="13.42578125" customWidth="1"/>
    <col min="10" max="10" width="12.42578125" customWidth="1"/>
    <col min="11" max="11" width="17.42578125" style="118" customWidth="1"/>
    <col min="12" max="12" width="14" customWidth="1"/>
    <col min="13" max="13" width="21.28515625" customWidth="1"/>
    <col min="14" max="14" width="21.140625" customWidth="1"/>
    <col min="15" max="15" width="29" customWidth="1"/>
    <col min="16" max="16" width="13.42578125" bestFit="1" customWidth="1"/>
    <col min="17" max="17" width="11.28515625" customWidth="1"/>
  </cols>
  <sheetData>
    <row r="1" spans="1:17" s="118" customFormat="1" ht="121.5" customHeight="1">
      <c r="A1" s="281"/>
      <c r="B1" s="281"/>
      <c r="C1" s="281"/>
      <c r="D1" s="281"/>
      <c r="E1" s="281"/>
      <c r="F1" s="281"/>
      <c r="G1" s="281"/>
      <c r="H1" s="281"/>
      <c r="I1" s="281"/>
      <c r="J1" s="281"/>
      <c r="K1" s="569" t="s">
        <v>272</v>
      </c>
      <c r="L1" s="570"/>
      <c r="M1" s="570"/>
      <c r="N1" s="571"/>
      <c r="O1" s="572"/>
      <c r="P1" s="572"/>
      <c r="Q1" s="572"/>
    </row>
    <row r="2" spans="1:17" ht="15" customHeight="1" thickBot="1">
      <c r="A2" s="218" t="s">
        <v>189</v>
      </c>
      <c r="B2" s="1" t="s">
        <v>292</v>
      </c>
      <c r="C2" s="1" t="s">
        <v>293</v>
      </c>
      <c r="D2" s="1" t="s">
        <v>294</v>
      </c>
      <c r="E2" s="1" t="s">
        <v>295</v>
      </c>
      <c r="F2" s="1" t="s">
        <v>296</v>
      </c>
      <c r="G2" s="1" t="s">
        <v>297</v>
      </c>
      <c r="H2" s="1" t="s">
        <v>298</v>
      </c>
      <c r="I2" s="1" t="s">
        <v>299</v>
      </c>
      <c r="J2" s="1" t="s">
        <v>306</v>
      </c>
      <c r="L2" s="118"/>
    </row>
    <row r="3" spans="1:17" ht="15" customHeight="1">
      <c r="A3" s="7" t="s">
        <v>77</v>
      </c>
      <c r="B3" s="8">
        <f>'Sales-Mkt Shares Reference'!F6</f>
        <v>15985205.403666668</v>
      </c>
      <c r="C3" s="8">
        <f>'Sales-Mkt Shares Reference'!G6</f>
        <v>16342286.133000001</v>
      </c>
      <c r="D3" s="8">
        <f>'Sales-Mkt Shares Reference'!H6</f>
        <v>16265591.797</v>
      </c>
      <c r="E3" s="8">
        <f>'Sales-Mkt Shares Reference'!I6</f>
        <v>16235905.924666667</v>
      </c>
      <c r="F3" s="8">
        <f>'Sales-Mkt Shares Reference'!J6</f>
        <v>16165185.221333332</v>
      </c>
      <c r="G3" s="8">
        <f>'Sales-Mkt Shares Reference'!K6</f>
        <v>16119274.088666666</v>
      </c>
      <c r="H3" s="8">
        <f>'Sales-Mkt Shares Reference'!L6</f>
        <v>16072083.007666666</v>
      </c>
      <c r="I3" s="8">
        <f>'Sales-Mkt Shares Reference'!M6</f>
        <v>16109706.380333334</v>
      </c>
      <c r="J3" s="451">
        <f>'Sales-Mkt Shares Reference'!N6</f>
        <v>16242619.791666666</v>
      </c>
      <c r="K3" s="294" t="s">
        <v>305</v>
      </c>
      <c r="L3" s="295" t="s">
        <v>0</v>
      </c>
      <c r="M3" s="134" t="s">
        <v>107</v>
      </c>
      <c r="N3" s="134"/>
      <c r="O3" s="266"/>
      <c r="P3" s="3"/>
    </row>
    <row r="4" spans="1:17" ht="15" customHeight="1">
      <c r="A4" s="2" t="s">
        <v>180</v>
      </c>
      <c r="B4" s="8">
        <f>B3*$L$4</f>
        <v>2557632.8645866667</v>
      </c>
      <c r="C4" s="8">
        <f t="shared" ref="C4:J4" si="0">C3*$L$4</f>
        <v>2614765.7812800002</v>
      </c>
      <c r="D4" s="8">
        <f t="shared" si="0"/>
        <v>2602494.6875200002</v>
      </c>
      <c r="E4" s="8">
        <f t="shared" si="0"/>
        <v>2597744.9479466667</v>
      </c>
      <c r="F4" s="8">
        <f t="shared" si="0"/>
        <v>2586429.6354133333</v>
      </c>
      <c r="G4" s="8">
        <f t="shared" si="0"/>
        <v>2579083.8541866667</v>
      </c>
      <c r="H4" s="8">
        <f t="shared" si="0"/>
        <v>2571533.2812266666</v>
      </c>
      <c r="I4" s="8">
        <f t="shared" si="0"/>
        <v>2577553.0208533336</v>
      </c>
      <c r="J4" s="8">
        <f t="shared" si="0"/>
        <v>2598819.1666666665</v>
      </c>
      <c r="K4" s="296" t="s">
        <v>303</v>
      </c>
      <c r="L4" s="298">
        <v>0.16</v>
      </c>
      <c r="M4" s="270" t="s">
        <v>301</v>
      </c>
      <c r="N4" s="270" t="s">
        <v>83</v>
      </c>
      <c r="O4" s="292" t="s">
        <v>104</v>
      </c>
      <c r="Q4" s="4"/>
    </row>
    <row r="5" spans="1:17" ht="15" customHeight="1">
      <c r="A5" s="2" t="s">
        <v>181</v>
      </c>
      <c r="B5" s="8">
        <f>B3*$L$5</f>
        <v>1918224.6484400001</v>
      </c>
      <c r="C5" s="8">
        <f t="shared" ref="C5:J5" si="1">C3*$L$5</f>
        <v>1961074.3359600001</v>
      </c>
      <c r="D5" s="8">
        <f t="shared" si="1"/>
        <v>1951871.0156399999</v>
      </c>
      <c r="E5" s="8">
        <f t="shared" si="1"/>
        <v>1948308.7109600001</v>
      </c>
      <c r="F5" s="8">
        <f t="shared" si="1"/>
        <v>1939822.2265599999</v>
      </c>
      <c r="G5" s="8">
        <f t="shared" si="1"/>
        <v>1934312.8906399999</v>
      </c>
      <c r="H5" s="8">
        <f t="shared" si="1"/>
        <v>1928649.9609199998</v>
      </c>
      <c r="I5" s="8">
        <f t="shared" si="1"/>
        <v>1933164.7656400001</v>
      </c>
      <c r="J5" s="8">
        <f t="shared" si="1"/>
        <v>1949114.3749999998</v>
      </c>
      <c r="K5" s="297" t="s">
        <v>304</v>
      </c>
      <c r="L5" s="299">
        <v>0.12</v>
      </c>
      <c r="M5" s="133" t="s">
        <v>103</v>
      </c>
      <c r="N5" s="136">
        <v>5.0395186821820488E-2</v>
      </c>
      <c r="O5" s="267">
        <v>4.9959487512099533E-2</v>
      </c>
      <c r="Q5" s="4"/>
    </row>
    <row r="6" spans="1:17" ht="15" customHeight="1">
      <c r="A6" s="5" t="s">
        <v>196</v>
      </c>
      <c r="B6" s="119">
        <f>'Sales-Mkt Shares Reference'!$B$43</f>
        <v>0.9373535351051977</v>
      </c>
      <c r="C6" s="119">
        <f>'Sales-Mkt Shares Reference'!$B$43</f>
        <v>0.9373535351051977</v>
      </c>
      <c r="D6" s="119">
        <f>'Sales-Mkt Shares Reference'!$B$43</f>
        <v>0.9373535351051977</v>
      </c>
      <c r="E6" s="119">
        <f>'Sales-Mkt Shares Reference'!$B$43</f>
        <v>0.9373535351051977</v>
      </c>
      <c r="F6" s="119">
        <f>'Sales-Mkt Shares Reference'!$B$43</f>
        <v>0.9373535351051977</v>
      </c>
      <c r="G6" s="119">
        <f>'Sales-Mkt Shares Reference'!$B$43</f>
        <v>0.9373535351051977</v>
      </c>
      <c r="H6" s="119">
        <f>'Sales-Mkt Shares Reference'!$B$43</f>
        <v>0.9373535351051977</v>
      </c>
      <c r="I6" s="119">
        <f>'Sales-Mkt Shares Reference'!$B$43</f>
        <v>0.9373535351051977</v>
      </c>
      <c r="J6" s="8">
        <f>'Sales-Mkt Shares Reference'!$B$43</f>
        <v>0.9373535351051977</v>
      </c>
      <c r="L6" s="118"/>
      <c r="M6" s="132" t="s">
        <v>90</v>
      </c>
      <c r="N6" s="136">
        <v>9.0645884113901079E-2</v>
      </c>
      <c r="O6" s="267">
        <v>0.13828853959873907</v>
      </c>
      <c r="P6" s="6"/>
    </row>
    <row r="7" spans="1:17" ht="15" customHeight="1">
      <c r="A7" s="5" t="s">
        <v>197</v>
      </c>
      <c r="B7" s="119">
        <f>'Sales-Mkt Shares Reference'!$B$44</f>
        <v>6.2646464894802301E-2</v>
      </c>
      <c r="C7" s="119">
        <f>'Sales-Mkt Shares Reference'!$B$44</f>
        <v>6.2646464894802301E-2</v>
      </c>
      <c r="D7" s="119">
        <f>'Sales-Mkt Shares Reference'!$B$44</f>
        <v>6.2646464894802301E-2</v>
      </c>
      <c r="E7" s="119">
        <f>'Sales-Mkt Shares Reference'!$B$44</f>
        <v>6.2646464894802301E-2</v>
      </c>
      <c r="F7" s="119">
        <f>'Sales-Mkt Shares Reference'!$B$44</f>
        <v>6.2646464894802301E-2</v>
      </c>
      <c r="G7" s="119">
        <f>'Sales-Mkt Shares Reference'!$B$44</f>
        <v>6.2646464894802301E-2</v>
      </c>
      <c r="H7" s="119">
        <f>'Sales-Mkt Shares Reference'!$B$44</f>
        <v>6.2646464894802301E-2</v>
      </c>
      <c r="I7" s="119">
        <f>'Sales-Mkt Shares Reference'!$B$44</f>
        <v>6.2646464894802301E-2</v>
      </c>
      <c r="J7" s="8">
        <f>'Sales-Mkt Shares Reference'!$B$44</f>
        <v>6.2646464894802301E-2</v>
      </c>
      <c r="L7" s="118"/>
      <c r="M7" s="132" t="s">
        <v>91</v>
      </c>
      <c r="N7" s="136">
        <v>0.12462616858641802</v>
      </c>
      <c r="O7" s="267">
        <v>0.13057375277065331</v>
      </c>
      <c r="P7" s="6"/>
    </row>
    <row r="8" spans="1:17" ht="15" customHeight="1">
      <c r="A8" s="5" t="s">
        <v>1</v>
      </c>
      <c r="B8" s="8">
        <f t="shared" ref="B8:J8" si="2">B5*B6</f>
        <v>1798054.6553411591</v>
      </c>
      <c r="C8" s="8">
        <f t="shared" si="2"/>
        <v>1838219.9614161842</v>
      </c>
      <c r="D8" s="8">
        <f t="shared" si="2"/>
        <v>1829593.1965795264</v>
      </c>
      <c r="E8" s="8">
        <f t="shared" si="2"/>
        <v>1826254.0576946069</v>
      </c>
      <c r="F8" s="8">
        <f t="shared" si="2"/>
        <v>1818299.2215416515</v>
      </c>
      <c r="G8" s="8">
        <f t="shared" si="2"/>
        <v>1813135.0260409575</v>
      </c>
      <c r="H8" s="8">
        <f t="shared" si="2"/>
        <v>1807826.858848863</v>
      </c>
      <c r="I8" s="8">
        <f t="shared" si="2"/>
        <v>1812058.8270134651</v>
      </c>
      <c r="J8" s="8">
        <f t="shared" si="2"/>
        <v>1827009.2497306077</v>
      </c>
      <c r="L8" s="118"/>
      <c r="M8" s="132" t="s">
        <v>93</v>
      </c>
      <c r="N8" s="136">
        <v>0.1189602047257894</v>
      </c>
      <c r="O8" s="267">
        <v>0.14577004283875242</v>
      </c>
    </row>
    <row r="9" spans="1:17" ht="15" customHeight="1">
      <c r="A9" s="5" t="s">
        <v>165</v>
      </c>
      <c r="B9" s="8">
        <f t="shared" ref="B9:J9" si="3">B5*B7</f>
        <v>120169.99309884095</v>
      </c>
      <c r="C9" s="8">
        <f t="shared" si="3"/>
        <v>122854.37454381588</v>
      </c>
      <c r="D9" s="8">
        <f t="shared" si="3"/>
        <v>122277.81906047337</v>
      </c>
      <c r="E9" s="8">
        <f t="shared" si="3"/>
        <v>122054.65326539316</v>
      </c>
      <c r="F9" s="8">
        <f t="shared" si="3"/>
        <v>121523.00501834827</v>
      </c>
      <c r="G9" s="8">
        <f t="shared" si="3"/>
        <v>121177.86459904231</v>
      </c>
      <c r="H9" s="8">
        <f t="shared" si="3"/>
        <v>120823.1020711366</v>
      </c>
      <c r="I9" s="8">
        <f t="shared" si="3"/>
        <v>121105.93862653499</v>
      </c>
      <c r="J9" s="8">
        <f t="shared" si="3"/>
        <v>122105.12526939201</v>
      </c>
      <c r="L9" s="118"/>
      <c r="M9" s="132" t="s">
        <v>94</v>
      </c>
      <c r="N9" s="136">
        <v>0.13396532227442101</v>
      </c>
      <c r="O9" s="267">
        <v>0.13765571679503835</v>
      </c>
    </row>
    <row r="10" spans="1:17" ht="15" customHeight="1">
      <c r="A10" s="5" t="s">
        <v>2</v>
      </c>
      <c r="B10" s="119">
        <f>'Sales-Mkt Shares Reference'!$F$43</f>
        <v>0.92410820014987316</v>
      </c>
      <c r="C10" s="119">
        <f>'Sales-Mkt Shares Reference'!$F$43</f>
        <v>0.92410820014987316</v>
      </c>
      <c r="D10" s="119">
        <f>'Sales-Mkt Shares Reference'!$F$43</f>
        <v>0.92410820014987316</v>
      </c>
      <c r="E10" s="119">
        <f>'Sales-Mkt Shares Reference'!$F$43</f>
        <v>0.92410820014987316</v>
      </c>
      <c r="F10" s="119">
        <f>'Sales-Mkt Shares Reference'!$F$43</f>
        <v>0.92410820014987316</v>
      </c>
      <c r="G10" s="119">
        <f>'Sales-Mkt Shares Reference'!$F$43</f>
        <v>0.92410820014987316</v>
      </c>
      <c r="H10" s="119">
        <f>'Sales-Mkt Shares Reference'!$F$43</f>
        <v>0.92410820014987316</v>
      </c>
      <c r="I10" s="119">
        <f>'Sales-Mkt Shares Reference'!$F$43</f>
        <v>0.92410820014987316</v>
      </c>
      <c r="J10" s="8">
        <f>'Sales-Mkt Shares Reference'!$F$43</f>
        <v>0.92410820014987316</v>
      </c>
      <c r="L10" s="118"/>
      <c r="M10" s="132" t="s">
        <v>95</v>
      </c>
      <c r="N10" s="136">
        <v>3.6598371087549125E-2</v>
      </c>
      <c r="O10" s="267">
        <v>4.0522344953484564E-2</v>
      </c>
      <c r="P10" s="6"/>
    </row>
    <row r="11" spans="1:17" ht="15" customHeight="1">
      <c r="A11" s="5" t="s">
        <v>3</v>
      </c>
      <c r="B11" s="119">
        <f>'Sales-Mkt Shares Reference'!$F$44</f>
        <v>7.5891799850126854E-2</v>
      </c>
      <c r="C11" s="119">
        <f>'Sales-Mkt Shares Reference'!$F$44</f>
        <v>7.5891799850126854E-2</v>
      </c>
      <c r="D11" s="119">
        <f>'Sales-Mkt Shares Reference'!$F$44</f>
        <v>7.5891799850126854E-2</v>
      </c>
      <c r="E11" s="119">
        <f>'Sales-Mkt Shares Reference'!$F$44</f>
        <v>7.5891799850126854E-2</v>
      </c>
      <c r="F11" s="119">
        <f>'Sales-Mkt Shares Reference'!$F$44</f>
        <v>7.5891799850126854E-2</v>
      </c>
      <c r="G11" s="119">
        <f>'Sales-Mkt Shares Reference'!$F$44</f>
        <v>7.5891799850126854E-2</v>
      </c>
      <c r="H11" s="119">
        <f>'Sales-Mkt Shares Reference'!$F$44</f>
        <v>7.5891799850126854E-2</v>
      </c>
      <c r="I11" s="119">
        <f>'Sales-Mkt Shares Reference'!$F$44</f>
        <v>7.5891799850126854E-2</v>
      </c>
      <c r="J11" s="8">
        <f>'Sales-Mkt Shares Reference'!$F$44</f>
        <v>7.5891799850126854E-2</v>
      </c>
      <c r="L11" s="118"/>
      <c r="M11" s="132" t="s">
        <v>97</v>
      </c>
      <c r="N11" s="136">
        <v>3.4819598214312325E-2</v>
      </c>
      <c r="O11" s="267">
        <v>3.1793595938368446E-2</v>
      </c>
      <c r="P11" s="6"/>
    </row>
    <row r="12" spans="1:17" ht="15" customHeight="1">
      <c r="A12" s="5" t="s">
        <v>79</v>
      </c>
      <c r="B12" s="8">
        <f t="shared" ref="B12:J12" si="4">B4*B10</f>
        <v>2363529.5031373487</v>
      </c>
      <c r="C12" s="8">
        <f t="shared" si="4"/>
        <v>2416326.4999521379</v>
      </c>
      <c r="D12" s="8">
        <f t="shared" si="4"/>
        <v>2404986.6815837137</v>
      </c>
      <c r="E12" s="8">
        <f t="shared" si="4"/>
        <v>2400597.40829542</v>
      </c>
      <c r="F12" s="8">
        <f t="shared" si="4"/>
        <v>2390140.8351961081</v>
      </c>
      <c r="G12" s="8">
        <f t="shared" si="4"/>
        <v>2383352.5385280387</v>
      </c>
      <c r="H12" s="8">
        <f t="shared" si="4"/>
        <v>2376374.9921398726</v>
      </c>
      <c r="I12" s="8">
        <f t="shared" si="4"/>
        <v>2381937.8828916429</v>
      </c>
      <c r="J12" s="8">
        <f t="shared" si="4"/>
        <v>2401590.1026233262</v>
      </c>
      <c r="K12" s="67"/>
      <c r="L12" s="118"/>
      <c r="M12" s="132" t="s">
        <v>99</v>
      </c>
      <c r="N12" s="136">
        <v>5.040353227095766E-2</v>
      </c>
      <c r="O12" s="267">
        <v>4.531287271981721E-2</v>
      </c>
    </row>
    <row r="13" spans="1:17" ht="15" customHeight="1">
      <c r="A13" s="98" t="s">
        <v>80</v>
      </c>
      <c r="B13" s="8">
        <f t="shared" ref="B13:J13" si="5">B4*B11</f>
        <v>194103.36144931792</v>
      </c>
      <c r="C13" s="8">
        <f t="shared" si="5"/>
        <v>198439.28132786235</v>
      </c>
      <c r="D13" s="8">
        <f t="shared" si="5"/>
        <v>197508.00593628627</v>
      </c>
      <c r="E13" s="8">
        <f t="shared" si="5"/>
        <v>197147.53965124662</v>
      </c>
      <c r="F13" s="8">
        <f t="shared" si="5"/>
        <v>196288.80021722527</v>
      </c>
      <c r="G13" s="8">
        <f t="shared" si="5"/>
        <v>195731.31565862827</v>
      </c>
      <c r="H13" s="8">
        <f t="shared" si="5"/>
        <v>195158.28908679416</v>
      </c>
      <c r="I13" s="8">
        <f t="shared" si="5"/>
        <v>195615.13796169104</v>
      </c>
      <c r="J13" s="452">
        <f t="shared" si="5"/>
        <v>197229.06404334013</v>
      </c>
      <c r="L13" s="118"/>
      <c r="M13" s="132" t="s">
        <v>100</v>
      </c>
      <c r="N13" s="136">
        <v>8.7331548599425005E-2</v>
      </c>
      <c r="O13" s="267">
        <v>9.6005067839524547E-2</v>
      </c>
    </row>
    <row r="14" spans="1:17" ht="15" customHeight="1">
      <c r="A14" s="307" t="s">
        <v>4</v>
      </c>
      <c r="B14" s="300" t="s">
        <v>292</v>
      </c>
      <c r="C14" s="300" t="s">
        <v>293</v>
      </c>
      <c r="D14" s="300" t="s">
        <v>294</v>
      </c>
      <c r="E14" s="300" t="s">
        <v>295</v>
      </c>
      <c r="F14" s="300" t="s">
        <v>296</v>
      </c>
      <c r="G14" s="300" t="s">
        <v>297</v>
      </c>
      <c r="H14" s="300" t="s">
        <v>298</v>
      </c>
      <c r="I14" s="300" t="s">
        <v>299</v>
      </c>
      <c r="J14" s="431" t="s">
        <v>306</v>
      </c>
      <c r="K14" s="432" t="s">
        <v>138</v>
      </c>
      <c r="L14" s="118"/>
      <c r="M14" s="132" t="s">
        <v>101</v>
      </c>
      <c r="N14" s="136">
        <v>0.21377106406264809</v>
      </c>
      <c r="O14" s="267">
        <v>0.13597476068718117</v>
      </c>
    </row>
    <row r="15" spans="1:17" ht="15" customHeight="1">
      <c r="A15" s="99" t="s">
        <v>5</v>
      </c>
      <c r="B15" s="108">
        <v>0.02</v>
      </c>
      <c r="C15" s="101">
        <v>0.04</v>
      </c>
      <c r="D15" s="101">
        <v>0.06</v>
      </c>
      <c r="E15" s="101">
        <v>0.08</v>
      </c>
      <c r="F15" s="101">
        <v>0.1</v>
      </c>
      <c r="G15" s="101">
        <v>0.12</v>
      </c>
      <c r="H15" s="101">
        <v>0.14000000000000001</v>
      </c>
      <c r="I15" s="101">
        <v>0.16</v>
      </c>
      <c r="J15" s="123">
        <v>0.16</v>
      </c>
      <c r="K15" s="433" t="s">
        <v>198</v>
      </c>
      <c r="L15" s="118"/>
      <c r="M15" s="132" t="s">
        <v>102</v>
      </c>
      <c r="N15" s="136">
        <v>5.8483119242757786E-2</v>
      </c>
      <c r="O15" s="267">
        <v>4.8143818346341356E-2</v>
      </c>
      <c r="P15" s="9"/>
    </row>
    <row r="16" spans="1:17" ht="15" customHeight="1">
      <c r="A16" s="10" t="s">
        <v>238</v>
      </c>
      <c r="B16" s="108">
        <v>2.5000000000000001E-2</v>
      </c>
      <c r="C16" s="101">
        <v>0.03</v>
      </c>
      <c r="D16" s="101">
        <v>3.5000000000000003E-2</v>
      </c>
      <c r="E16" s="101">
        <v>0.04</v>
      </c>
      <c r="F16" s="101">
        <v>4.4999999999999998E-2</v>
      </c>
      <c r="G16" s="101">
        <v>0.05</v>
      </c>
      <c r="H16" s="101">
        <v>5.5E-2</v>
      </c>
      <c r="I16" s="101">
        <v>0.06</v>
      </c>
      <c r="J16" s="123">
        <v>0.06</v>
      </c>
      <c r="K16" s="434" t="s">
        <v>198</v>
      </c>
      <c r="L16" s="118"/>
      <c r="M16" s="132" t="s">
        <v>110</v>
      </c>
      <c r="N16" s="137"/>
      <c r="O16" s="268"/>
      <c r="P16" s="9"/>
    </row>
    <row r="17" spans="1:16" ht="15" customHeight="1">
      <c r="A17" s="10" t="s">
        <v>6</v>
      </c>
      <c r="B17" s="108">
        <v>4.4999999999999998E-2</v>
      </c>
      <c r="C17" s="101">
        <v>7.0000000000000007E-2</v>
      </c>
      <c r="D17" s="101">
        <v>9.5000000000000001E-2</v>
      </c>
      <c r="E17" s="101">
        <v>0.12</v>
      </c>
      <c r="F17" s="101">
        <v>0.14500000000000002</v>
      </c>
      <c r="G17" s="101">
        <v>0.16999999999999998</v>
      </c>
      <c r="H17" s="101">
        <v>0.19500000000000001</v>
      </c>
      <c r="I17" s="102">
        <v>0.22</v>
      </c>
      <c r="J17" s="123">
        <v>0.22</v>
      </c>
      <c r="K17" s="434" t="s">
        <v>198</v>
      </c>
      <c r="L17" s="118"/>
      <c r="M17" s="291" t="s">
        <v>301</v>
      </c>
      <c r="N17" s="271" t="s">
        <v>83</v>
      </c>
      <c r="O17" s="293" t="s">
        <v>104</v>
      </c>
      <c r="P17" s="9"/>
    </row>
    <row r="18" spans="1:16" ht="15" customHeight="1">
      <c r="A18" s="10" t="s">
        <v>246</v>
      </c>
      <c r="B18" s="194">
        <f t="shared" ref="B18:J18" si="6">B15*B8</f>
        <v>35961.09310682318</v>
      </c>
      <c r="C18" s="194">
        <f t="shared" si="6"/>
        <v>73528.798456647375</v>
      </c>
      <c r="D18" s="194">
        <f t="shared" si="6"/>
        <v>109775.59179477158</v>
      </c>
      <c r="E18" s="194">
        <f t="shared" si="6"/>
        <v>146100.32461556856</v>
      </c>
      <c r="F18" s="194">
        <f t="shared" si="6"/>
        <v>181829.92215416516</v>
      </c>
      <c r="G18" s="194">
        <f t="shared" si="6"/>
        <v>217576.2031249149</v>
      </c>
      <c r="H18" s="194">
        <f t="shared" si="6"/>
        <v>253095.76023884086</v>
      </c>
      <c r="I18" s="195">
        <f t="shared" si="6"/>
        <v>289929.41232215444</v>
      </c>
      <c r="J18" s="124">
        <f t="shared" si="6"/>
        <v>292321.47995689727</v>
      </c>
      <c r="K18" s="434">
        <f>SUM(B18:I18)</f>
        <v>1307797.105813886</v>
      </c>
      <c r="L18" s="118"/>
      <c r="M18" s="132" t="s">
        <v>92</v>
      </c>
      <c r="N18" s="136">
        <v>0.39710302630288002</v>
      </c>
      <c r="O18" s="267">
        <v>0.5347154985476863</v>
      </c>
    </row>
    <row r="19" spans="1:16" ht="15" customHeight="1">
      <c r="A19" s="11" t="s">
        <v>247</v>
      </c>
      <c r="B19" s="194">
        <f t="shared" ref="B19:J19" si="7">B16*B8</f>
        <v>44951.366383528977</v>
      </c>
      <c r="C19" s="194">
        <f t="shared" si="7"/>
        <v>55146.598842485524</v>
      </c>
      <c r="D19" s="194">
        <f t="shared" si="7"/>
        <v>64035.761880283433</v>
      </c>
      <c r="E19" s="194">
        <f t="shared" si="7"/>
        <v>73050.162307784281</v>
      </c>
      <c r="F19" s="194">
        <f t="shared" si="7"/>
        <v>81823.464969374312</v>
      </c>
      <c r="G19" s="194">
        <f t="shared" si="7"/>
        <v>90656.75130204788</v>
      </c>
      <c r="H19" s="194">
        <f t="shared" si="7"/>
        <v>99430.477236687468</v>
      </c>
      <c r="I19" s="194">
        <f t="shared" si="7"/>
        <v>108723.52962080791</v>
      </c>
      <c r="J19" s="124">
        <f t="shared" si="7"/>
        <v>109620.55498383645</v>
      </c>
      <c r="K19" s="434">
        <f>SUM(B19:I19)</f>
        <v>617818.11254299968</v>
      </c>
      <c r="L19" s="118"/>
      <c r="M19" s="132" t="s">
        <v>96</v>
      </c>
      <c r="N19" s="136">
        <v>0.10267845197427687</v>
      </c>
      <c r="O19" s="267">
        <v>8.0801453113872601E-2</v>
      </c>
    </row>
    <row r="20" spans="1:16" ht="15" customHeight="1">
      <c r="A20" s="11" t="s">
        <v>248</v>
      </c>
      <c r="B20" s="12">
        <f>SUM(B18:B19)</f>
        <v>80912.459490352165</v>
      </c>
      <c r="C20" s="12">
        <f t="shared" ref="C20:J20" si="8">SUM(C18:C19)</f>
        <v>128675.39729913289</v>
      </c>
      <c r="D20" s="12">
        <f t="shared" si="8"/>
        <v>173811.35367505503</v>
      </c>
      <c r="E20" s="12">
        <f t="shared" si="8"/>
        <v>219150.48692335284</v>
      </c>
      <c r="F20" s="12">
        <f t="shared" si="8"/>
        <v>263653.38712353946</v>
      </c>
      <c r="G20" s="12">
        <f t="shared" si="8"/>
        <v>308232.95442696277</v>
      </c>
      <c r="H20" s="12">
        <f t="shared" si="8"/>
        <v>352526.23747552832</v>
      </c>
      <c r="I20" s="12">
        <f t="shared" si="8"/>
        <v>398652.94194296235</v>
      </c>
      <c r="J20" s="125">
        <f t="shared" si="8"/>
        <v>401942.03494073369</v>
      </c>
      <c r="K20" s="434">
        <f>SUM(B20:I20)</f>
        <v>1925615.2183568859</v>
      </c>
      <c r="L20" s="118"/>
      <c r="M20" s="132" t="s">
        <v>98</v>
      </c>
      <c r="N20" s="136">
        <v>0.37980859280929741</v>
      </c>
      <c r="O20" s="267">
        <v>0.27645971529850449</v>
      </c>
    </row>
    <row r="21" spans="1:16" ht="15" customHeight="1">
      <c r="A21" s="11" t="s">
        <v>250</v>
      </c>
      <c r="B21" s="12">
        <f t="shared" ref="B21:J21" si="9">B9*B17</f>
        <v>5407.6496894478423</v>
      </c>
      <c r="C21" s="12">
        <f t="shared" si="9"/>
        <v>8599.8062180671132</v>
      </c>
      <c r="D21" s="12">
        <f t="shared" si="9"/>
        <v>11616.39281074497</v>
      </c>
      <c r="E21" s="12">
        <f t="shared" si="9"/>
        <v>14646.558391847178</v>
      </c>
      <c r="F21" s="12">
        <f t="shared" si="9"/>
        <v>17620.835727660502</v>
      </c>
      <c r="G21" s="12">
        <f t="shared" si="9"/>
        <v>20600.236981837192</v>
      </c>
      <c r="H21" s="12">
        <f t="shared" si="9"/>
        <v>23560.504903871639</v>
      </c>
      <c r="I21" s="12">
        <f t="shared" si="9"/>
        <v>26643.306497837697</v>
      </c>
      <c r="J21" s="125">
        <f t="shared" si="9"/>
        <v>26863.127559266242</v>
      </c>
      <c r="K21" s="434">
        <f>SUM(B21:I21)</f>
        <v>128695.29122131412</v>
      </c>
      <c r="L21" s="118"/>
      <c r="M21" s="132" t="s">
        <v>108</v>
      </c>
      <c r="N21" s="136">
        <v>4.0136642971181892E-2</v>
      </c>
      <c r="O21" s="267">
        <v>3.6007777679978877E-2</v>
      </c>
    </row>
    <row r="22" spans="1:16" ht="15" customHeight="1">
      <c r="A22" s="156" t="s">
        <v>249</v>
      </c>
      <c r="B22" s="157">
        <f>SUM(B20:B21)</f>
        <v>86320.109179800012</v>
      </c>
      <c r="C22" s="157">
        <f t="shared" ref="C22:J22" si="10">SUM(C20:C21)</f>
        <v>137275.20351720002</v>
      </c>
      <c r="D22" s="157">
        <f t="shared" si="10"/>
        <v>185427.74648579999</v>
      </c>
      <c r="E22" s="157">
        <f t="shared" si="10"/>
        <v>233797.04531520003</v>
      </c>
      <c r="F22" s="157">
        <f t="shared" si="10"/>
        <v>281274.22285119997</v>
      </c>
      <c r="G22" s="157">
        <f t="shared" si="10"/>
        <v>328833.19140879996</v>
      </c>
      <c r="H22" s="157">
        <f t="shared" si="10"/>
        <v>376086.74237939995</v>
      </c>
      <c r="I22" s="158">
        <f t="shared" si="10"/>
        <v>425296.24844080006</v>
      </c>
      <c r="J22" s="125">
        <f t="shared" si="10"/>
        <v>428805.16249999992</v>
      </c>
      <c r="K22" s="435">
        <f>SUM(B22:I22)</f>
        <v>2054310.5095781998</v>
      </c>
      <c r="L22" s="118"/>
      <c r="M22" s="132" t="s">
        <v>141</v>
      </c>
      <c r="N22" s="136">
        <v>4.0136642971181892E-2</v>
      </c>
      <c r="O22" s="267">
        <v>3.6007777679978877E-2</v>
      </c>
    </row>
    <row r="23" spans="1:16" ht="15" customHeight="1" thickBot="1">
      <c r="A23" s="428" t="s">
        <v>7</v>
      </c>
      <c r="B23" s="429" t="s">
        <v>292</v>
      </c>
      <c r="C23" s="429" t="s">
        <v>293</v>
      </c>
      <c r="D23" s="429" t="s">
        <v>294</v>
      </c>
      <c r="E23" s="429" t="s">
        <v>295</v>
      </c>
      <c r="F23" s="429" t="s">
        <v>296</v>
      </c>
      <c r="G23" s="429" t="s">
        <v>297</v>
      </c>
      <c r="H23" s="429" t="s">
        <v>298</v>
      </c>
      <c r="I23" s="429" t="s">
        <v>299</v>
      </c>
      <c r="J23" s="430" t="s">
        <v>306</v>
      </c>
      <c r="K23" s="432" t="s">
        <v>138</v>
      </c>
      <c r="L23" s="118"/>
      <c r="M23" s="135" t="s">
        <v>109</v>
      </c>
      <c r="N23" s="138">
        <v>4.0136642971181892E-2</v>
      </c>
      <c r="O23" s="269">
        <v>3.6007777679978877E-2</v>
      </c>
    </row>
    <row r="24" spans="1:16" s="118" customFormat="1" ht="15" customHeight="1">
      <c r="A24" s="419" t="s">
        <v>137</v>
      </c>
      <c r="B24" s="306">
        <v>0.9</v>
      </c>
      <c r="C24" s="36">
        <f>B24</f>
        <v>0.9</v>
      </c>
      <c r="D24" s="36">
        <f>B24</f>
        <v>0.9</v>
      </c>
      <c r="E24" s="119"/>
      <c r="F24" s="119"/>
      <c r="G24" s="119"/>
      <c r="H24" s="119"/>
      <c r="I24" s="119"/>
      <c r="J24" s="422"/>
      <c r="K24" s="433"/>
    </row>
    <row r="25" spans="1:16" ht="15" customHeight="1">
      <c r="A25" s="420" t="s">
        <v>256</v>
      </c>
      <c r="B25" s="13">
        <v>0.625</v>
      </c>
      <c r="C25" s="13">
        <v>0.75</v>
      </c>
      <c r="D25" s="13">
        <v>0.875</v>
      </c>
      <c r="E25" s="196"/>
      <c r="F25" s="196"/>
      <c r="G25" s="196"/>
      <c r="H25" s="196"/>
      <c r="I25" s="196"/>
      <c r="J25" s="423"/>
      <c r="K25" s="434"/>
      <c r="L25" s="118"/>
      <c r="M25" s="118"/>
    </row>
    <row r="26" spans="1:16" ht="15" customHeight="1">
      <c r="A26" s="421" t="s">
        <v>8</v>
      </c>
      <c r="B26" s="193">
        <f>B25*B15</f>
        <v>1.2500000000000001E-2</v>
      </c>
      <c r="C26" s="13">
        <f>C25*C15</f>
        <v>0.03</v>
      </c>
      <c r="D26" s="13">
        <f>D25*D15</f>
        <v>5.2499999999999998E-2</v>
      </c>
      <c r="E26" s="13">
        <f t="shared" ref="E26:J26" si="11">E15</f>
        <v>0.08</v>
      </c>
      <c r="F26" s="13">
        <f t="shared" si="11"/>
        <v>0.1</v>
      </c>
      <c r="G26" s="13">
        <f t="shared" si="11"/>
        <v>0.12</v>
      </c>
      <c r="H26" s="13">
        <f t="shared" si="11"/>
        <v>0.14000000000000001</v>
      </c>
      <c r="I26" s="13">
        <f t="shared" si="11"/>
        <v>0.16</v>
      </c>
      <c r="J26" s="424">
        <f t="shared" si="11"/>
        <v>0.16</v>
      </c>
      <c r="K26" s="434" t="s">
        <v>198</v>
      </c>
      <c r="L26" s="118"/>
      <c r="M26" s="118"/>
    </row>
    <row r="27" spans="1:16" ht="15" customHeight="1">
      <c r="A27" s="420" t="s">
        <v>255</v>
      </c>
      <c r="B27" s="13">
        <v>0.9</v>
      </c>
      <c r="C27" s="13">
        <v>1</v>
      </c>
      <c r="D27" s="13">
        <v>1</v>
      </c>
      <c r="E27" s="196"/>
      <c r="F27" s="196"/>
      <c r="G27" s="196"/>
      <c r="H27" s="196"/>
      <c r="I27" s="196"/>
      <c r="J27" s="423"/>
      <c r="K27" s="434" t="s">
        <v>198</v>
      </c>
      <c r="L27" s="118"/>
      <c r="M27" s="118"/>
    </row>
    <row r="28" spans="1:16" ht="15" customHeight="1">
      <c r="A28" s="421" t="s">
        <v>239</v>
      </c>
      <c r="B28" s="14">
        <f>B27*B16</f>
        <v>2.2500000000000003E-2</v>
      </c>
      <c r="C28" s="14">
        <f>C27*C16</f>
        <v>0.03</v>
      </c>
      <c r="D28" s="14">
        <f>D27*D16</f>
        <v>3.5000000000000003E-2</v>
      </c>
      <c r="E28" s="14">
        <f t="shared" ref="E28:J28" si="12">E16</f>
        <v>0.04</v>
      </c>
      <c r="F28" s="14">
        <f t="shared" si="12"/>
        <v>4.4999999999999998E-2</v>
      </c>
      <c r="G28" s="14">
        <f t="shared" si="12"/>
        <v>0.05</v>
      </c>
      <c r="H28" s="14">
        <f t="shared" si="12"/>
        <v>5.5E-2</v>
      </c>
      <c r="I28" s="14">
        <f t="shared" si="12"/>
        <v>0.06</v>
      </c>
      <c r="J28" s="425">
        <f t="shared" si="12"/>
        <v>0.06</v>
      </c>
      <c r="K28" s="434" t="s">
        <v>198</v>
      </c>
      <c r="L28" s="118"/>
      <c r="M28" s="118"/>
    </row>
    <row r="29" spans="1:16" ht="15" customHeight="1">
      <c r="A29" s="421" t="s">
        <v>9</v>
      </c>
      <c r="B29" s="15">
        <f>B26+B28</f>
        <v>3.5000000000000003E-2</v>
      </c>
      <c r="C29" s="15">
        <f t="shared" ref="C29:J29" si="13">C26+C28</f>
        <v>0.06</v>
      </c>
      <c r="D29" s="15">
        <f t="shared" si="13"/>
        <v>8.7499999999999994E-2</v>
      </c>
      <c r="E29" s="15">
        <f t="shared" si="13"/>
        <v>0.12</v>
      </c>
      <c r="F29" s="15">
        <f t="shared" si="13"/>
        <v>0.14500000000000002</v>
      </c>
      <c r="G29" s="15">
        <f t="shared" si="13"/>
        <v>0.16999999999999998</v>
      </c>
      <c r="H29" s="15">
        <f t="shared" si="13"/>
        <v>0.19500000000000001</v>
      </c>
      <c r="I29" s="15">
        <f t="shared" si="13"/>
        <v>0.22</v>
      </c>
      <c r="J29" s="426">
        <f t="shared" si="13"/>
        <v>0.22</v>
      </c>
      <c r="K29" s="434" t="s">
        <v>198</v>
      </c>
      <c r="L29" s="118"/>
      <c r="M29" s="118"/>
    </row>
    <row r="30" spans="1:16" ht="15" customHeight="1">
      <c r="A30" s="343" t="s">
        <v>254</v>
      </c>
      <c r="B30" s="120">
        <f>(B26*B12)*B24+(((1-B24)*B12)*B15)</f>
        <v>31316.765916569871</v>
      </c>
      <c r="C30" s="120">
        <f>(C26*C12)*C24+(((1-C24)*C12)*C15)</f>
        <v>74906.121498516266</v>
      </c>
      <c r="D30" s="120">
        <f>(D26*D12)*D24+(((1-D24)*D12)*D15)</f>
        <v>128065.54079433274</v>
      </c>
      <c r="E30" s="120">
        <f>E26*E12</f>
        <v>192047.79266363359</v>
      </c>
      <c r="F30" s="120">
        <f>F26*F12</f>
        <v>239014.08351961081</v>
      </c>
      <c r="G30" s="120">
        <f>G26*G12</f>
        <v>286002.30462336465</v>
      </c>
      <c r="H30" s="120">
        <f>H26*H12</f>
        <v>332692.49889958219</v>
      </c>
      <c r="I30" s="120">
        <f>I26*I12</f>
        <v>381110.06126266287</v>
      </c>
      <c r="J30" s="125">
        <f t="shared" ref="J30" si="14">J26*J12</f>
        <v>384254.41641973221</v>
      </c>
      <c r="K30" s="434">
        <f>SUM(B30:I30)</f>
        <v>1665155.1691782731</v>
      </c>
      <c r="L30" s="118"/>
      <c r="M30" s="118"/>
    </row>
    <row r="31" spans="1:16" ht="15" customHeight="1">
      <c r="A31" s="343" t="s">
        <v>253</v>
      </c>
      <c r="B31" s="120">
        <f>(B28*B12*B24)+(((1-B24)*B12)*B16)</f>
        <v>53770.296196374686</v>
      </c>
      <c r="C31" s="120">
        <f>(C28*C12*C24)+(((1-C24)*C12)*C16)</f>
        <v>72489.794998564132</v>
      </c>
      <c r="D31" s="120">
        <f>(D28*D12*D24)+(((1-D24)*D12)*D16)</f>
        <v>84174.533855429996</v>
      </c>
      <c r="E31" s="120">
        <f>E28*E12</f>
        <v>96023.896331816795</v>
      </c>
      <c r="F31" s="120">
        <f>F28*F12</f>
        <v>107556.33758382486</v>
      </c>
      <c r="G31" s="120">
        <f>G28*G12</f>
        <v>119167.62692640194</v>
      </c>
      <c r="H31" s="120">
        <f>H28*H12</f>
        <v>130700.624567693</v>
      </c>
      <c r="I31" s="120">
        <f>I28*I12</f>
        <v>142916.27297349856</v>
      </c>
      <c r="J31" s="125">
        <f t="shared" ref="J31" si="15">J28*J12</f>
        <v>144095.40615739956</v>
      </c>
      <c r="K31" s="434">
        <f>SUM(B31:I31)</f>
        <v>806799.38343360403</v>
      </c>
      <c r="L31" s="118"/>
      <c r="M31" s="118"/>
    </row>
    <row r="32" spans="1:16" ht="15" customHeight="1">
      <c r="A32" s="343" t="s">
        <v>252</v>
      </c>
      <c r="B32" s="120">
        <f>SUM(B30:B31)</f>
        <v>85087.06211294455</v>
      </c>
      <c r="C32" s="120">
        <f t="shared" ref="C32:J32" si="16">SUM(C30:C31)</f>
        <v>147395.91649708041</v>
      </c>
      <c r="D32" s="120">
        <f t="shared" si="16"/>
        <v>212240.07464976274</v>
      </c>
      <c r="E32" s="120">
        <f t="shared" si="16"/>
        <v>288071.68899545039</v>
      </c>
      <c r="F32" s="120">
        <f t="shared" si="16"/>
        <v>346570.42110343568</v>
      </c>
      <c r="G32" s="120">
        <f t="shared" si="16"/>
        <v>405169.93154976657</v>
      </c>
      <c r="H32" s="120">
        <f t="shared" si="16"/>
        <v>463393.12346727517</v>
      </c>
      <c r="I32" s="120">
        <f t="shared" si="16"/>
        <v>524026.33423616143</v>
      </c>
      <c r="J32" s="125">
        <f t="shared" si="16"/>
        <v>528349.8225771318</v>
      </c>
      <c r="K32" s="434">
        <f>SUM(B32:I32)</f>
        <v>2471954.5526118772</v>
      </c>
      <c r="L32" s="118"/>
      <c r="M32" s="118"/>
    </row>
    <row r="33" spans="1:13" ht="15" customHeight="1">
      <c r="A33" s="343" t="s">
        <v>251</v>
      </c>
      <c r="B33" s="120">
        <f t="shared" ref="B33:J33" si="17">B13*B17</f>
        <v>8734.6512652193069</v>
      </c>
      <c r="C33" s="120">
        <f t="shared" si="17"/>
        <v>13890.749692950365</v>
      </c>
      <c r="D33" s="120">
        <f t="shared" si="17"/>
        <v>18763.260563947195</v>
      </c>
      <c r="E33" s="120">
        <f t="shared" si="17"/>
        <v>23657.704758149594</v>
      </c>
      <c r="F33" s="120">
        <f t="shared" si="17"/>
        <v>28461.876031497668</v>
      </c>
      <c r="G33" s="120">
        <f t="shared" si="17"/>
        <v>33274.323661966802</v>
      </c>
      <c r="H33" s="120">
        <f t="shared" si="17"/>
        <v>38055.866371924865</v>
      </c>
      <c r="I33" s="120">
        <f t="shared" si="17"/>
        <v>43035.330351572033</v>
      </c>
      <c r="J33" s="125">
        <f t="shared" si="17"/>
        <v>43390.394089534828</v>
      </c>
      <c r="K33" s="434">
        <f>SUM(B33:I33)</f>
        <v>207873.76269722782</v>
      </c>
      <c r="L33" s="118"/>
      <c r="M33" s="118"/>
    </row>
    <row r="34" spans="1:13" ht="15" customHeight="1">
      <c r="A34" s="345" t="s">
        <v>257</v>
      </c>
      <c r="B34" s="34">
        <f>SUM(B32:B33)</f>
        <v>93821.713378163855</v>
      </c>
      <c r="C34" s="34">
        <f t="shared" ref="C34:J34" si="18">SUM(C32:C33)</f>
        <v>161286.66619003078</v>
      </c>
      <c r="D34" s="34">
        <f t="shared" si="18"/>
        <v>231003.33521370994</v>
      </c>
      <c r="E34" s="34">
        <f t="shared" si="18"/>
        <v>311729.39375359996</v>
      </c>
      <c r="F34" s="34">
        <f t="shared" si="18"/>
        <v>375032.29713493335</v>
      </c>
      <c r="G34" s="34">
        <f t="shared" si="18"/>
        <v>438444.2552117334</v>
      </c>
      <c r="H34" s="34">
        <f t="shared" si="18"/>
        <v>501448.98983920005</v>
      </c>
      <c r="I34" s="34">
        <f t="shared" si="18"/>
        <v>567061.66458773345</v>
      </c>
      <c r="J34" s="427">
        <f t="shared" si="18"/>
        <v>571740.21666666667</v>
      </c>
      <c r="K34" s="435">
        <f>SUM(B34:I34)</f>
        <v>2679828.3153091045</v>
      </c>
      <c r="L34" s="118"/>
      <c r="M34" s="110"/>
    </row>
    <row r="35" spans="1:13" ht="15" customHeight="1">
      <c r="A35" s="406" t="s">
        <v>311</v>
      </c>
      <c r="B35" s="387" t="s">
        <v>292</v>
      </c>
      <c r="C35" s="387" t="s">
        <v>293</v>
      </c>
      <c r="D35" s="387" t="s">
        <v>294</v>
      </c>
      <c r="E35" s="388" t="s">
        <v>295</v>
      </c>
      <c r="F35" s="118"/>
      <c r="G35" s="118"/>
      <c r="H35" s="118"/>
      <c r="I35" s="118"/>
      <c r="J35" s="118"/>
    </row>
    <row r="36" spans="1:13" ht="15" customHeight="1" thickBot="1">
      <c r="A36" s="416" t="s">
        <v>195</v>
      </c>
      <c r="B36" s="286">
        <v>0.2</v>
      </c>
      <c r="C36" s="395">
        <f>B36</f>
        <v>0.2</v>
      </c>
      <c r="D36" s="396">
        <f>C36</f>
        <v>0.2</v>
      </c>
      <c r="E36" s="417">
        <f>D36</f>
        <v>0.2</v>
      </c>
      <c r="F36" s="118"/>
      <c r="G36" s="118"/>
      <c r="H36" s="118"/>
      <c r="I36" s="118"/>
      <c r="J36" s="118"/>
      <c r="M36" s="6"/>
    </row>
    <row r="37" spans="1:13" ht="15" customHeight="1" thickBot="1">
      <c r="A37" s="416" t="s">
        <v>11</v>
      </c>
      <c r="B37" s="224">
        <v>0</v>
      </c>
      <c r="C37" s="397">
        <f>B37</f>
        <v>0</v>
      </c>
      <c r="D37" s="398">
        <f>B37</f>
        <v>0</v>
      </c>
      <c r="E37" s="418">
        <f>B37</f>
        <v>0</v>
      </c>
      <c r="F37" s="118"/>
      <c r="G37" s="118"/>
      <c r="H37" s="118"/>
      <c r="I37" s="118"/>
      <c r="J37" s="118"/>
    </row>
    <row r="38" spans="1:13" s="118" customFormat="1" ht="15" customHeight="1">
      <c r="A38" s="410" t="s">
        <v>10</v>
      </c>
      <c r="B38" s="411" t="s">
        <v>292</v>
      </c>
      <c r="C38" s="411" t="s">
        <v>293</v>
      </c>
      <c r="D38" s="411" t="s">
        <v>294</v>
      </c>
      <c r="E38" s="412" t="s">
        <v>295</v>
      </c>
    </row>
    <row r="39" spans="1:13" ht="15" customHeight="1">
      <c r="A39" s="407" t="s">
        <v>259</v>
      </c>
      <c r="B39" s="197">
        <v>0.5</v>
      </c>
      <c r="C39" s="17">
        <v>0.5</v>
      </c>
      <c r="D39" s="17">
        <v>0.4</v>
      </c>
      <c r="E39" s="408">
        <v>0.3</v>
      </c>
      <c r="F39" s="118"/>
      <c r="G39" s="118"/>
      <c r="H39" s="118"/>
      <c r="I39" s="118"/>
      <c r="J39" s="118"/>
    </row>
    <row r="40" spans="1:13" ht="15" customHeight="1">
      <c r="A40" s="407" t="s">
        <v>258</v>
      </c>
      <c r="B40" s="18">
        <f>B39*B20*(B36)</f>
        <v>8091.2459490352167</v>
      </c>
      <c r="C40" s="18">
        <f>C39*C20*(C36)</f>
        <v>12867.539729913289</v>
      </c>
      <c r="D40" s="18">
        <f>D39*D20*(D36)</f>
        <v>13904.908294004403</v>
      </c>
      <c r="E40" s="409">
        <f>E39*E20*(E36)</f>
        <v>13149.029215401169</v>
      </c>
      <c r="F40" s="118"/>
      <c r="G40" s="118"/>
      <c r="H40" s="118"/>
      <c r="I40" s="118"/>
      <c r="J40" s="118"/>
    </row>
    <row r="41" spans="1:13" ht="15" customHeight="1">
      <c r="A41" s="407" t="s">
        <v>260</v>
      </c>
      <c r="B41" s="18">
        <f>B39*B18*(B36)</f>
        <v>3596.1093106823182</v>
      </c>
      <c r="C41" s="18">
        <f>C39*C18*(C36)</f>
        <v>7352.8798456647382</v>
      </c>
      <c r="D41" s="18">
        <f>D39*D18*(D36)</f>
        <v>8782.0473435817275</v>
      </c>
      <c r="E41" s="409">
        <f>E39*E18*(E36)</f>
        <v>8766.0194769341142</v>
      </c>
      <c r="F41" s="118"/>
      <c r="G41" s="118"/>
      <c r="H41" s="118"/>
      <c r="I41" s="118"/>
      <c r="J41" s="118"/>
    </row>
    <row r="42" spans="1:13" ht="15" customHeight="1">
      <c r="A42" s="407" t="s">
        <v>261</v>
      </c>
      <c r="B42" s="18">
        <f>B40-B41</f>
        <v>4495.1366383528984</v>
      </c>
      <c r="C42" s="18">
        <f>C40-C41</f>
        <v>5514.659884248551</v>
      </c>
      <c r="D42" s="18">
        <f>D40-D41</f>
        <v>5122.8609504226752</v>
      </c>
      <c r="E42" s="409">
        <f>E40-E41</f>
        <v>4383.0097384670553</v>
      </c>
      <c r="F42" s="118"/>
      <c r="G42" s="118"/>
      <c r="H42" s="118"/>
      <c r="I42" s="118"/>
      <c r="J42" s="118"/>
    </row>
    <row r="43" spans="1:13" ht="15" customHeight="1">
      <c r="A43" s="413" t="s">
        <v>262</v>
      </c>
      <c r="B43" s="414">
        <f>B21*B39*B37</f>
        <v>0</v>
      </c>
      <c r="C43" s="414">
        <f>C21*C39*C37</f>
        <v>0</v>
      </c>
      <c r="D43" s="414">
        <f>D21*D39*D37</f>
        <v>0</v>
      </c>
      <c r="E43" s="415">
        <f>E21*E39*E37</f>
        <v>0</v>
      </c>
      <c r="F43" s="118"/>
      <c r="G43" s="118"/>
      <c r="H43" s="118"/>
      <c r="I43" s="118"/>
      <c r="J43" s="118"/>
    </row>
    <row r="44" spans="1:13" ht="15" customHeight="1">
      <c r="A44" s="394" t="s">
        <v>12</v>
      </c>
      <c r="B44" s="327" t="s">
        <v>292</v>
      </c>
      <c r="C44" s="327" t="s">
        <v>293</v>
      </c>
      <c r="D44" s="327" t="s">
        <v>294</v>
      </c>
      <c r="E44" s="328" t="s">
        <v>295</v>
      </c>
      <c r="F44" s="118"/>
      <c r="G44" s="118"/>
      <c r="H44" s="118"/>
      <c r="I44" s="118"/>
      <c r="J44" s="118"/>
    </row>
    <row r="45" spans="1:13" ht="15" customHeight="1">
      <c r="A45" s="389" t="s">
        <v>259</v>
      </c>
      <c r="B45" s="19">
        <v>0.5</v>
      </c>
      <c r="C45" s="19">
        <v>0.5</v>
      </c>
      <c r="D45" s="19">
        <v>0.4</v>
      </c>
      <c r="E45" s="391">
        <v>0.3</v>
      </c>
      <c r="F45" s="118"/>
      <c r="G45" s="118"/>
      <c r="H45" s="118"/>
      <c r="I45" s="118"/>
      <c r="J45" s="118"/>
    </row>
    <row r="46" spans="1:13" ht="15" customHeight="1">
      <c r="A46" s="389" t="s">
        <v>258</v>
      </c>
      <c r="B46" s="20">
        <f>B45*B32*(B36)</f>
        <v>8508.706211294455</v>
      </c>
      <c r="C46" s="20">
        <f>C45*C32*(C36)</f>
        <v>14739.591649708042</v>
      </c>
      <c r="D46" s="20">
        <f>D45*D32*(D36)</f>
        <v>16979.20597198102</v>
      </c>
      <c r="E46" s="392">
        <f>E45*E32*(E36)</f>
        <v>17284.301339727022</v>
      </c>
      <c r="F46" s="118"/>
      <c r="G46" s="118"/>
      <c r="H46" s="118"/>
      <c r="I46" s="118"/>
      <c r="J46" s="118"/>
      <c r="M46" s="112"/>
    </row>
    <row r="47" spans="1:13" ht="15" customHeight="1">
      <c r="A47" s="389" t="s">
        <v>260</v>
      </c>
      <c r="B47" s="20">
        <f>B45*B30*(B36)</f>
        <v>3131.6765916569875</v>
      </c>
      <c r="C47" s="20">
        <f>C45*C30*(C36)</f>
        <v>7490.6121498516268</v>
      </c>
      <c r="D47" s="20">
        <f>D45*D30*(D36)</f>
        <v>10245.243263546621</v>
      </c>
      <c r="E47" s="392">
        <f>E45*E30*(E36)</f>
        <v>11522.867559818016</v>
      </c>
      <c r="F47" s="118"/>
      <c r="G47" s="118"/>
      <c r="H47" s="118"/>
      <c r="I47" s="118"/>
      <c r="J47" s="118"/>
      <c r="M47" s="112"/>
    </row>
    <row r="48" spans="1:13" ht="15" customHeight="1">
      <c r="A48" s="389" t="s">
        <v>261</v>
      </c>
      <c r="B48" s="20">
        <f>B46-B47</f>
        <v>5377.0296196374675</v>
      </c>
      <c r="C48" s="20">
        <f>C46-C47</f>
        <v>7248.9794998564148</v>
      </c>
      <c r="D48" s="20">
        <f>D46-D47</f>
        <v>6733.9627084343992</v>
      </c>
      <c r="E48" s="392">
        <f>E46-E47</f>
        <v>5761.4337799090063</v>
      </c>
      <c r="F48" s="118"/>
      <c r="G48" s="118"/>
      <c r="H48" s="118"/>
      <c r="I48" s="118"/>
      <c r="J48" s="118"/>
      <c r="M48" s="112"/>
    </row>
    <row r="49" spans="1:13" ht="15" customHeight="1">
      <c r="A49" s="390" t="s">
        <v>262</v>
      </c>
      <c r="B49" s="155">
        <f>B33*B45*(B37)</f>
        <v>0</v>
      </c>
      <c r="C49" s="155">
        <f>C33*C45*(C37)</f>
        <v>0</v>
      </c>
      <c r="D49" s="155">
        <f>D33*D45*(D37)</f>
        <v>0</v>
      </c>
      <c r="E49" s="393">
        <f>E33*E45*(E37)</f>
        <v>0</v>
      </c>
      <c r="F49" s="118"/>
      <c r="G49" s="118"/>
      <c r="H49" s="118"/>
      <c r="I49" s="118"/>
      <c r="J49" s="118"/>
      <c r="M49" s="112"/>
    </row>
    <row r="50" spans="1:13" ht="15" customHeight="1">
      <c r="A50" s="386" t="s">
        <v>312</v>
      </c>
      <c r="B50" s="387" t="s">
        <v>292</v>
      </c>
      <c r="C50" s="387" t="s">
        <v>293</v>
      </c>
      <c r="D50" s="387" t="s">
        <v>294</v>
      </c>
      <c r="E50" s="387" t="s">
        <v>295</v>
      </c>
      <c r="F50" s="387" t="s">
        <v>296</v>
      </c>
      <c r="G50" s="387" t="s">
        <v>297</v>
      </c>
      <c r="H50" s="387" t="s">
        <v>298</v>
      </c>
      <c r="I50" s="388" t="s">
        <v>299</v>
      </c>
      <c r="J50" s="118"/>
      <c r="M50" s="128"/>
    </row>
    <row r="51" spans="1:13" ht="15" customHeight="1" thickBot="1">
      <c r="A51" s="382" t="s">
        <v>194</v>
      </c>
      <c r="B51" s="287">
        <v>1</v>
      </c>
      <c r="C51" s="362">
        <f t="shared" ref="C51:I51" si="19">$B$51</f>
        <v>1</v>
      </c>
      <c r="D51" s="363">
        <f t="shared" si="19"/>
        <v>1</v>
      </c>
      <c r="E51" s="363">
        <f t="shared" si="19"/>
        <v>1</v>
      </c>
      <c r="F51" s="363">
        <f t="shared" si="19"/>
        <v>1</v>
      </c>
      <c r="G51" s="363">
        <f t="shared" si="19"/>
        <v>1</v>
      </c>
      <c r="H51" s="363">
        <f t="shared" si="19"/>
        <v>1</v>
      </c>
      <c r="I51" s="384">
        <f t="shared" si="19"/>
        <v>1</v>
      </c>
      <c r="J51" s="118"/>
      <c r="M51" s="128"/>
    </row>
    <row r="52" spans="1:13" ht="15" customHeight="1" thickBot="1">
      <c r="A52" s="383" t="s">
        <v>117</v>
      </c>
      <c r="B52" s="225">
        <v>1</v>
      </c>
      <c r="C52" s="364">
        <f t="shared" ref="C52:I52" si="20">$B$52</f>
        <v>1</v>
      </c>
      <c r="D52" s="365">
        <f t="shared" si="20"/>
        <v>1</v>
      </c>
      <c r="E52" s="365">
        <f t="shared" si="20"/>
        <v>1</v>
      </c>
      <c r="F52" s="365">
        <f t="shared" si="20"/>
        <v>1</v>
      </c>
      <c r="G52" s="365">
        <f t="shared" si="20"/>
        <v>1</v>
      </c>
      <c r="H52" s="365">
        <f t="shared" si="20"/>
        <v>1</v>
      </c>
      <c r="I52" s="385">
        <f t="shared" si="20"/>
        <v>1</v>
      </c>
      <c r="J52" s="118"/>
      <c r="M52" s="128"/>
    </row>
    <row r="53" spans="1:13" s="118" customFormat="1" ht="15" customHeight="1">
      <c r="A53" s="379" t="s">
        <v>13</v>
      </c>
      <c r="B53" s="380" t="s">
        <v>292</v>
      </c>
      <c r="C53" s="380" t="s">
        <v>293</v>
      </c>
      <c r="D53" s="380" t="s">
        <v>294</v>
      </c>
      <c r="E53" s="380" t="s">
        <v>295</v>
      </c>
      <c r="F53" s="380" t="s">
        <v>296</v>
      </c>
      <c r="G53" s="380" t="s">
        <v>297</v>
      </c>
      <c r="H53" s="380" t="s">
        <v>298</v>
      </c>
      <c r="I53" s="381" t="s">
        <v>299</v>
      </c>
      <c r="M53" s="128"/>
    </row>
    <row r="54" spans="1:13" ht="15" customHeight="1">
      <c r="A54" s="374" t="s">
        <v>263</v>
      </c>
      <c r="B54" s="221">
        <v>0.25</v>
      </c>
      <c r="C54" s="22">
        <v>0.25</v>
      </c>
      <c r="D54" s="22">
        <v>0.25</v>
      </c>
      <c r="E54" s="22">
        <v>0.25</v>
      </c>
      <c r="F54" s="22">
        <v>0.25</v>
      </c>
      <c r="G54" s="22">
        <v>0.25</v>
      </c>
      <c r="H54" s="22">
        <v>0.25</v>
      </c>
      <c r="I54" s="221">
        <v>0.25</v>
      </c>
      <c r="J54" s="118"/>
      <c r="M54" s="128"/>
    </row>
    <row r="55" spans="1:13" ht="15" customHeight="1">
      <c r="A55" s="375" t="s">
        <v>264</v>
      </c>
      <c r="B55" s="222">
        <f>B54*B19*B51</f>
        <v>11237.841595882244</v>
      </c>
      <c r="C55" s="21">
        <f t="shared" ref="C55:I55" si="21">C54*C19*C51</f>
        <v>13786.649710621381</v>
      </c>
      <c r="D55" s="21">
        <f t="shared" si="21"/>
        <v>16008.940470070858</v>
      </c>
      <c r="E55" s="21">
        <f t="shared" si="21"/>
        <v>18262.54057694607</v>
      </c>
      <c r="F55" s="21">
        <f t="shared" si="21"/>
        <v>20455.866242343578</v>
      </c>
      <c r="G55" s="21">
        <f t="shared" si="21"/>
        <v>22664.18782551197</v>
      </c>
      <c r="H55" s="21">
        <f t="shared" si="21"/>
        <v>24857.619309171867</v>
      </c>
      <c r="I55" s="377">
        <f t="shared" si="21"/>
        <v>27180.882405201977</v>
      </c>
      <c r="J55" s="170"/>
      <c r="M55" s="128"/>
    </row>
    <row r="56" spans="1:13" ht="15" customHeight="1">
      <c r="A56" s="375" t="s">
        <v>265</v>
      </c>
      <c r="B56" s="22">
        <v>1</v>
      </c>
      <c r="C56" s="22">
        <v>1</v>
      </c>
      <c r="D56" s="22">
        <v>0.25</v>
      </c>
      <c r="E56" s="22">
        <v>0.25</v>
      </c>
      <c r="F56" s="22">
        <v>0.25</v>
      </c>
      <c r="G56" s="22">
        <v>0.25</v>
      </c>
      <c r="H56" s="22">
        <v>0.25</v>
      </c>
      <c r="I56" s="221">
        <v>0.25</v>
      </c>
      <c r="J56" s="171"/>
      <c r="M56" s="301">
        <v>0</v>
      </c>
    </row>
    <row r="57" spans="1:13" ht="15" customHeight="1">
      <c r="A57" s="376" t="s">
        <v>266</v>
      </c>
      <c r="B57" s="159">
        <f>B56*B21*B52</f>
        <v>5407.6496894478423</v>
      </c>
      <c r="C57" s="159">
        <f t="shared" ref="C57:I57" si="22">C56*C21*C52</f>
        <v>8599.8062180671132</v>
      </c>
      <c r="D57" s="159">
        <f t="shared" si="22"/>
        <v>2904.0982026862425</v>
      </c>
      <c r="E57" s="159">
        <f t="shared" si="22"/>
        <v>3661.6395979617946</v>
      </c>
      <c r="F57" s="159">
        <f t="shared" si="22"/>
        <v>4405.2089319151255</v>
      </c>
      <c r="G57" s="159">
        <f t="shared" si="22"/>
        <v>5150.0592454592979</v>
      </c>
      <c r="H57" s="159">
        <f t="shared" si="22"/>
        <v>5890.1262259679097</v>
      </c>
      <c r="I57" s="378">
        <f t="shared" si="22"/>
        <v>6660.8266244594242</v>
      </c>
      <c r="J57" s="170"/>
      <c r="M57" s="301">
        <v>0.25</v>
      </c>
    </row>
    <row r="58" spans="1:13" ht="15" customHeight="1">
      <c r="A58" s="371" t="s">
        <v>14</v>
      </c>
      <c r="B58" s="372" t="s">
        <v>292</v>
      </c>
      <c r="C58" s="372" t="s">
        <v>293</v>
      </c>
      <c r="D58" s="372" t="s">
        <v>294</v>
      </c>
      <c r="E58" s="372" t="s">
        <v>295</v>
      </c>
      <c r="F58" s="372" t="s">
        <v>296</v>
      </c>
      <c r="G58" s="372" t="s">
        <v>297</v>
      </c>
      <c r="H58" s="372" t="s">
        <v>298</v>
      </c>
      <c r="I58" s="373" t="s">
        <v>299</v>
      </c>
      <c r="J58" s="171"/>
      <c r="M58" s="301">
        <v>0.5</v>
      </c>
    </row>
    <row r="59" spans="1:13" ht="15" customHeight="1">
      <c r="A59" s="366" t="s">
        <v>263</v>
      </c>
      <c r="B59" s="160">
        <f t="shared" ref="B59:I59" si="23">B54</f>
        <v>0.25</v>
      </c>
      <c r="C59" s="160">
        <f t="shared" si="23"/>
        <v>0.25</v>
      </c>
      <c r="D59" s="160">
        <f t="shared" si="23"/>
        <v>0.25</v>
      </c>
      <c r="E59" s="160">
        <f t="shared" si="23"/>
        <v>0.25</v>
      </c>
      <c r="F59" s="160">
        <f t="shared" si="23"/>
        <v>0.25</v>
      </c>
      <c r="G59" s="160">
        <f t="shared" si="23"/>
        <v>0.25</v>
      </c>
      <c r="H59" s="160">
        <f t="shared" si="23"/>
        <v>0.25</v>
      </c>
      <c r="I59" s="369">
        <f t="shared" si="23"/>
        <v>0.25</v>
      </c>
      <c r="J59" s="171"/>
      <c r="M59" s="301">
        <v>0.75</v>
      </c>
    </row>
    <row r="60" spans="1:13" ht="15" customHeight="1">
      <c r="A60" s="367" t="s">
        <v>264</v>
      </c>
      <c r="B60" s="25">
        <f>B59*B31*B51</f>
        <v>13442.574049093671</v>
      </c>
      <c r="C60" s="25">
        <f t="shared" ref="C60:I60" si="24">C59*C31*C51</f>
        <v>18122.448749641033</v>
      </c>
      <c r="D60" s="25">
        <f t="shared" si="24"/>
        <v>21043.633463857499</v>
      </c>
      <c r="E60" s="25">
        <f t="shared" si="24"/>
        <v>24005.974082954199</v>
      </c>
      <c r="F60" s="25">
        <f t="shared" si="24"/>
        <v>26889.084395956215</v>
      </c>
      <c r="G60" s="25">
        <f t="shared" si="24"/>
        <v>29791.906731600484</v>
      </c>
      <c r="H60" s="25">
        <f t="shared" si="24"/>
        <v>32675.156141923249</v>
      </c>
      <c r="I60" s="308">
        <f t="shared" si="24"/>
        <v>35729.068243374641</v>
      </c>
      <c r="J60" s="171"/>
      <c r="M60" s="301">
        <v>1</v>
      </c>
    </row>
    <row r="61" spans="1:13" ht="15" customHeight="1">
      <c r="A61" s="367" t="s">
        <v>265</v>
      </c>
      <c r="B61" s="26">
        <f>B56</f>
        <v>1</v>
      </c>
      <c r="C61" s="26">
        <f t="shared" ref="C61:I61" si="25">C56</f>
        <v>1</v>
      </c>
      <c r="D61" s="26">
        <f t="shared" si="25"/>
        <v>0.25</v>
      </c>
      <c r="E61" s="26">
        <f t="shared" si="25"/>
        <v>0.25</v>
      </c>
      <c r="F61" s="26">
        <f t="shared" si="25"/>
        <v>0.25</v>
      </c>
      <c r="G61" s="26">
        <f t="shared" si="25"/>
        <v>0.25</v>
      </c>
      <c r="H61" s="26">
        <f t="shared" si="25"/>
        <v>0.25</v>
      </c>
      <c r="I61" s="370">
        <f t="shared" si="25"/>
        <v>0.25</v>
      </c>
      <c r="J61" s="171"/>
      <c r="M61" s="301">
        <v>2</v>
      </c>
    </row>
    <row r="62" spans="1:13" ht="15" customHeight="1">
      <c r="A62" s="368" t="s">
        <v>266</v>
      </c>
      <c r="B62" s="59">
        <f>B33*B61*B52</f>
        <v>8734.6512652193069</v>
      </c>
      <c r="C62" s="59">
        <f t="shared" ref="C62:I62" si="26">C33*C61*C52</f>
        <v>13890.749692950365</v>
      </c>
      <c r="D62" s="59">
        <f t="shared" si="26"/>
        <v>4690.8151409867987</v>
      </c>
      <c r="E62" s="59">
        <f t="shared" si="26"/>
        <v>5914.4261895373984</v>
      </c>
      <c r="F62" s="59">
        <f t="shared" si="26"/>
        <v>7115.469007874417</v>
      </c>
      <c r="G62" s="59">
        <f t="shared" si="26"/>
        <v>8318.5809154917006</v>
      </c>
      <c r="H62" s="25">
        <f t="shared" si="26"/>
        <v>9513.9665929812163</v>
      </c>
      <c r="I62" s="308">
        <f t="shared" si="26"/>
        <v>10758.832587893008</v>
      </c>
      <c r="J62" s="171"/>
      <c r="M62" s="128"/>
    </row>
    <row r="63" spans="1:13" ht="15" customHeight="1" thickBot="1">
      <c r="A63" s="399" t="s">
        <v>309</v>
      </c>
      <c r="B63" s="400" t="s">
        <v>116</v>
      </c>
      <c r="C63" s="400" t="s">
        <v>106</v>
      </c>
      <c r="D63" s="400" t="s">
        <v>114</v>
      </c>
      <c r="E63" s="400" t="s">
        <v>15</v>
      </c>
      <c r="F63" s="400" t="s">
        <v>16</v>
      </c>
      <c r="G63" s="400" t="s">
        <v>115</v>
      </c>
      <c r="H63" s="118"/>
      <c r="I63" s="118"/>
      <c r="J63" s="171"/>
      <c r="M63" s="128"/>
    </row>
    <row r="64" spans="1:13" ht="15" customHeight="1" thickBot="1">
      <c r="A64" s="401" t="s">
        <v>267</v>
      </c>
      <c r="B64" s="226">
        <v>662900</v>
      </c>
      <c r="C64" s="402">
        <f>IF(((B64-(J18*D64)-E64)&gt;0), (B64-(J18*D64)-E64), 0)</f>
        <v>450449.2600215514</v>
      </c>
      <c r="D64" s="227">
        <v>0.5</v>
      </c>
      <c r="E64" s="404">
        <f>B64*0.1</f>
        <v>66290</v>
      </c>
      <c r="F64" s="405">
        <f>IF((E64-(J21*G64)&gt;0), (E64-(J21*G64)), 0)</f>
        <v>52858.436220366879</v>
      </c>
      <c r="G64" s="223">
        <v>0.5</v>
      </c>
      <c r="H64" s="118"/>
      <c r="I64" s="176"/>
      <c r="J64" s="171"/>
      <c r="M64" s="128"/>
    </row>
    <row r="65" spans="1:13" ht="15" customHeight="1">
      <c r="A65" s="401" t="s">
        <v>270</v>
      </c>
      <c r="B65" s="288">
        <v>208000</v>
      </c>
      <c r="C65" s="403">
        <f>IF(((B65-(J19*D65)-E65)&gt;0), (B65-(J19*D65)-E65), 0)</f>
        <v>153189.72250808176</v>
      </c>
      <c r="D65" s="227">
        <v>0.5</v>
      </c>
      <c r="E65" s="111"/>
      <c r="F65" s="111"/>
      <c r="G65" s="112"/>
      <c r="H65" s="118"/>
      <c r="I65" s="118"/>
      <c r="J65" s="171"/>
      <c r="M65" s="128"/>
    </row>
    <row r="66" spans="1:13" s="118" customFormat="1" ht="15" customHeight="1">
      <c r="A66" s="359" t="s">
        <v>310</v>
      </c>
      <c r="B66" s="360" t="s">
        <v>292</v>
      </c>
      <c r="C66" s="360" t="s">
        <v>293</v>
      </c>
      <c r="D66" s="360" t="s">
        <v>294</v>
      </c>
      <c r="E66" s="360" t="s">
        <v>295</v>
      </c>
      <c r="F66" s="360" t="s">
        <v>296</v>
      </c>
      <c r="G66" s="360" t="s">
        <v>297</v>
      </c>
      <c r="H66" s="360" t="s">
        <v>298</v>
      </c>
      <c r="I66" s="361" t="s">
        <v>299</v>
      </c>
      <c r="J66" s="171"/>
      <c r="M66" s="128"/>
    </row>
    <row r="67" spans="1:13" ht="15" customHeight="1">
      <c r="A67" s="28" t="s">
        <v>17</v>
      </c>
      <c r="B67" s="29">
        <f>C64/K18</f>
        <v>0.34443359602116697</v>
      </c>
      <c r="C67" s="29">
        <f>$B$67</f>
        <v>0.34443359602116697</v>
      </c>
      <c r="D67" s="29">
        <f>$B$67</f>
        <v>0.34443359602116697</v>
      </c>
      <c r="E67" s="29">
        <f>$B$67</f>
        <v>0.34443359602116697</v>
      </c>
      <c r="F67" s="29">
        <f>$B$67</f>
        <v>0.34443359602116697</v>
      </c>
      <c r="G67" s="29">
        <f>$B$67</f>
        <v>0.34443359602116697</v>
      </c>
      <c r="H67" s="29">
        <f>G67</f>
        <v>0.34443359602116697</v>
      </c>
      <c r="I67" s="356">
        <f>H67</f>
        <v>0.34443359602116697</v>
      </c>
      <c r="J67" s="171"/>
      <c r="M67" s="128"/>
    </row>
    <row r="68" spans="1:13" ht="15" customHeight="1">
      <c r="A68" s="28" t="s">
        <v>240</v>
      </c>
      <c r="B68" s="30">
        <f>C65/K19</f>
        <v>0.24795278642372251</v>
      </c>
      <c r="C68" s="30">
        <f>$B$68</f>
        <v>0.24795278642372251</v>
      </c>
      <c r="D68" s="30">
        <f>$B$68</f>
        <v>0.24795278642372251</v>
      </c>
      <c r="E68" s="30">
        <f>$B$68</f>
        <v>0.24795278642372251</v>
      </c>
      <c r="F68" s="30">
        <f>$B$68</f>
        <v>0.24795278642372251</v>
      </c>
      <c r="G68" s="30">
        <f>$B$68</f>
        <v>0.24795278642372251</v>
      </c>
      <c r="H68" s="29">
        <f>G68</f>
        <v>0.24795278642372251</v>
      </c>
      <c r="I68" s="356">
        <f>H68</f>
        <v>0.24795278642372251</v>
      </c>
      <c r="J68" s="171"/>
      <c r="M68" s="128"/>
    </row>
    <row r="69" spans="1:13" ht="15" customHeight="1">
      <c r="A69" s="28" t="s">
        <v>18</v>
      </c>
      <c r="B69" s="31">
        <f t="shared" ref="B69:I70" si="27">B67*B18</f>
        <v>12386.208615635107</v>
      </c>
      <c r="C69" s="31">
        <f t="shared" si="27"/>
        <v>25325.788463538687</v>
      </c>
      <c r="D69" s="31">
        <f t="shared" si="27"/>
        <v>37810.401837224883</v>
      </c>
      <c r="E69" s="31">
        <f t="shared" si="27"/>
        <v>50321.860187200102</v>
      </c>
      <c r="F69" s="31">
        <f t="shared" si="27"/>
        <v>62628.333951807959</v>
      </c>
      <c r="G69" s="31">
        <f t="shared" si="27"/>
        <v>74940.554050946303</v>
      </c>
      <c r="H69" s="31">
        <f t="shared" si="27"/>
        <v>87174.682836775042</v>
      </c>
      <c r="I69" s="357">
        <f t="shared" si="27"/>
        <v>99861.430078423291</v>
      </c>
      <c r="J69" s="172"/>
      <c r="M69" s="128"/>
    </row>
    <row r="70" spans="1:13" ht="15" customHeight="1">
      <c r="A70" s="28" t="s">
        <v>241</v>
      </c>
      <c r="B70" s="31">
        <f t="shared" si="27"/>
        <v>11145.81654834966</v>
      </c>
      <c r="C70" s="31">
        <f t="shared" si="27"/>
        <v>13673.752844785517</v>
      </c>
      <c r="D70" s="31">
        <f t="shared" si="27"/>
        <v>15877.845588982269</v>
      </c>
      <c r="E70" s="31">
        <f t="shared" si="27"/>
        <v>18112.991292920302</v>
      </c>
      <c r="F70" s="31">
        <f t="shared" si="27"/>
        <v>20288.356134000209</v>
      </c>
      <c r="G70" s="31">
        <f t="shared" si="27"/>
        <v>22478.594093465206</v>
      </c>
      <c r="H70" s="31">
        <f t="shared" si="27"/>
        <v>24654.06388627717</v>
      </c>
      <c r="I70" s="357">
        <f t="shared" si="27"/>
        <v>26958.30211930145</v>
      </c>
      <c r="J70" s="177"/>
      <c r="M70" s="128"/>
    </row>
    <row r="71" spans="1:13" ht="15" customHeight="1">
      <c r="A71" s="28" t="s">
        <v>19</v>
      </c>
      <c r="B71" s="30">
        <f t="shared" ref="B71:I71" si="28">$F$64/$K$21</f>
        <v>0.41072548745755993</v>
      </c>
      <c r="C71" s="30">
        <f t="shared" si="28"/>
        <v>0.41072548745755993</v>
      </c>
      <c r="D71" s="30">
        <f t="shared" si="28"/>
        <v>0.41072548745755993</v>
      </c>
      <c r="E71" s="30">
        <f t="shared" si="28"/>
        <v>0.41072548745755993</v>
      </c>
      <c r="F71" s="30">
        <f t="shared" si="28"/>
        <v>0.41072548745755993</v>
      </c>
      <c r="G71" s="30">
        <f t="shared" si="28"/>
        <v>0.41072548745755993</v>
      </c>
      <c r="H71" s="30">
        <f t="shared" si="28"/>
        <v>0.41072548745755993</v>
      </c>
      <c r="I71" s="358">
        <f t="shared" si="28"/>
        <v>0.41072548745755993</v>
      </c>
      <c r="J71" s="172"/>
      <c r="M71" s="128"/>
    </row>
    <row r="72" spans="1:13" ht="15" customHeight="1">
      <c r="A72" s="348" t="s">
        <v>20</v>
      </c>
      <c r="B72" s="349">
        <f t="shared" ref="B72:I72" si="29">B71*B21</f>
        <v>2221.0595546981876</v>
      </c>
      <c r="C72" s="349">
        <f t="shared" si="29"/>
        <v>3532.1596009561699</v>
      </c>
      <c r="D72" s="349">
        <f t="shared" si="29"/>
        <v>4771.1485996917227</v>
      </c>
      <c r="E72" s="349">
        <f t="shared" si="29"/>
        <v>6015.7148350670477</v>
      </c>
      <c r="F72" s="349">
        <f t="shared" si="29"/>
        <v>7237.3263436529478</v>
      </c>
      <c r="G72" s="349">
        <f t="shared" si="29"/>
        <v>8461.0423761063339</v>
      </c>
      <c r="H72" s="31">
        <f t="shared" si="29"/>
        <v>9676.8998613889107</v>
      </c>
      <c r="I72" s="357">
        <f t="shared" si="29"/>
        <v>10943.085048805562</v>
      </c>
      <c r="J72" s="172"/>
      <c r="M72" s="128"/>
    </row>
    <row r="73" spans="1:13" ht="15" customHeight="1" thickBot="1">
      <c r="A73" s="406" t="s">
        <v>308</v>
      </c>
      <c r="B73" s="400" t="s">
        <v>116</v>
      </c>
      <c r="C73" s="400" t="s">
        <v>106</v>
      </c>
      <c r="D73" s="400" t="s">
        <v>114</v>
      </c>
      <c r="E73" s="400" t="s">
        <v>15</v>
      </c>
      <c r="F73" s="400" t="s">
        <v>16</v>
      </c>
      <c r="G73" s="400" t="s">
        <v>115</v>
      </c>
      <c r="H73" s="118"/>
      <c r="I73" s="118"/>
      <c r="J73" s="68"/>
      <c r="M73" s="128"/>
    </row>
    <row r="74" spans="1:13" ht="15" customHeight="1" thickBot="1">
      <c r="A74" s="401" t="s">
        <v>267</v>
      </c>
      <c r="B74" s="226">
        <v>776600</v>
      </c>
      <c r="C74" s="402">
        <f>IF((B74-(J30*D74)-E74)&gt;0, (B74-(I30*D74)-E74), 0)</f>
        <v>570512.96936866851</v>
      </c>
      <c r="D74" s="227">
        <v>0.5</v>
      </c>
      <c r="E74" s="404">
        <f>B74*0.02</f>
        <v>15532</v>
      </c>
      <c r="F74" s="405">
        <f>IF((E74-(J33/2))&gt;0,(E74-(J33/2)),0)</f>
        <v>0</v>
      </c>
      <c r="G74" s="223">
        <v>0.5</v>
      </c>
      <c r="H74" s="118"/>
      <c r="I74" s="118"/>
      <c r="J74" s="67"/>
      <c r="M74" s="128"/>
    </row>
    <row r="75" spans="1:13" ht="15" customHeight="1">
      <c r="A75" s="401" t="s">
        <v>270</v>
      </c>
      <c r="B75" s="288">
        <v>45000</v>
      </c>
      <c r="C75" s="403">
        <f>IF((B75-(J31*D75)-E75)&gt;0, (B75-(I31*D75)-E75), 0)</f>
        <v>0</v>
      </c>
      <c r="D75" s="227">
        <v>0.5</v>
      </c>
      <c r="E75" s="111"/>
      <c r="F75" s="111"/>
      <c r="G75" s="118"/>
      <c r="H75" s="118"/>
      <c r="I75" s="118"/>
      <c r="J75" s="118"/>
      <c r="M75" s="129"/>
    </row>
    <row r="76" spans="1:13" s="118" customFormat="1" ht="15" customHeight="1">
      <c r="A76" s="217" t="s">
        <v>307</v>
      </c>
      <c r="B76" s="289" t="s">
        <v>292</v>
      </c>
      <c r="C76" s="289" t="s">
        <v>293</v>
      </c>
      <c r="D76" s="289" t="s">
        <v>294</v>
      </c>
      <c r="E76" s="289" t="s">
        <v>295</v>
      </c>
      <c r="F76" s="289" t="s">
        <v>296</v>
      </c>
      <c r="G76" s="289" t="s">
        <v>297</v>
      </c>
      <c r="H76" s="289" t="s">
        <v>298</v>
      </c>
      <c r="I76" s="350" t="s">
        <v>299</v>
      </c>
      <c r="M76" s="129"/>
    </row>
    <row r="77" spans="1:13" ht="15" customHeight="1">
      <c r="A77" s="32" t="s">
        <v>17</v>
      </c>
      <c r="B77" s="116">
        <f>C74/K30</f>
        <v>0.34261850182419179</v>
      </c>
      <c r="C77" s="117">
        <f>$B$77</f>
        <v>0.34261850182419179</v>
      </c>
      <c r="D77" s="117">
        <f t="shared" ref="D77:I77" si="30">$B$77</f>
        <v>0.34261850182419179</v>
      </c>
      <c r="E77" s="117">
        <f t="shared" si="30"/>
        <v>0.34261850182419179</v>
      </c>
      <c r="F77" s="117">
        <f t="shared" si="30"/>
        <v>0.34261850182419179</v>
      </c>
      <c r="G77" s="117">
        <f t="shared" si="30"/>
        <v>0.34261850182419179</v>
      </c>
      <c r="H77" s="117">
        <f t="shared" si="30"/>
        <v>0.34261850182419179</v>
      </c>
      <c r="I77" s="351">
        <f t="shared" si="30"/>
        <v>0.34261850182419179</v>
      </c>
      <c r="J77" s="118"/>
      <c r="M77" s="112"/>
    </row>
    <row r="78" spans="1:13" ht="15" customHeight="1">
      <c r="A78" s="32" t="s">
        <v>240</v>
      </c>
      <c r="B78" s="113">
        <f>C75/K31</f>
        <v>0</v>
      </c>
      <c r="C78" s="114">
        <f>$B$78</f>
        <v>0</v>
      </c>
      <c r="D78" s="114">
        <f t="shared" ref="D78:I78" si="31">$B$78</f>
        <v>0</v>
      </c>
      <c r="E78" s="114">
        <f t="shared" si="31"/>
        <v>0</v>
      </c>
      <c r="F78" s="114">
        <f t="shared" si="31"/>
        <v>0</v>
      </c>
      <c r="G78" s="114">
        <f t="shared" si="31"/>
        <v>0</v>
      </c>
      <c r="H78" s="114">
        <f t="shared" si="31"/>
        <v>0</v>
      </c>
      <c r="I78" s="352">
        <f t="shared" si="31"/>
        <v>0</v>
      </c>
      <c r="J78" s="118"/>
    </row>
    <row r="79" spans="1:13" ht="15" customHeight="1">
      <c r="A79" s="32" t="s">
        <v>18</v>
      </c>
      <c r="B79" s="115">
        <f t="shared" ref="B79:I80" si="32">B77*B30</f>
        <v>10729.703420314081</v>
      </c>
      <c r="C79" s="115">
        <f t="shared" si="32"/>
        <v>25664.223125282526</v>
      </c>
      <c r="D79" s="115">
        <f t="shared" si="32"/>
        <v>43877.623722259203</v>
      </c>
      <c r="E79" s="115">
        <f t="shared" si="32"/>
        <v>65799.127001057146</v>
      </c>
      <c r="F79" s="115">
        <f t="shared" si="32"/>
        <v>81890.647210371302</v>
      </c>
      <c r="G79" s="115">
        <f t="shared" si="32"/>
        <v>97989.681128323311</v>
      </c>
      <c r="H79" s="115">
        <f t="shared" si="32"/>
        <v>113986.60554112143</v>
      </c>
      <c r="I79" s="353">
        <f t="shared" si="32"/>
        <v>130575.3582199395</v>
      </c>
      <c r="J79" s="23"/>
    </row>
    <row r="80" spans="1:13" ht="15" customHeight="1">
      <c r="A80" s="32" t="s">
        <v>241</v>
      </c>
      <c r="B80" s="115">
        <f t="shared" si="32"/>
        <v>0</v>
      </c>
      <c r="C80" s="115">
        <f t="shared" si="32"/>
        <v>0</v>
      </c>
      <c r="D80" s="115">
        <f t="shared" si="32"/>
        <v>0</v>
      </c>
      <c r="E80" s="115">
        <f t="shared" si="32"/>
        <v>0</v>
      </c>
      <c r="F80" s="115">
        <f t="shared" si="32"/>
        <v>0</v>
      </c>
      <c r="G80" s="115">
        <f t="shared" si="32"/>
        <v>0</v>
      </c>
      <c r="H80" s="115">
        <f t="shared" si="32"/>
        <v>0</v>
      </c>
      <c r="I80" s="353">
        <f t="shared" si="32"/>
        <v>0</v>
      </c>
      <c r="J80" s="23"/>
    </row>
    <row r="81" spans="1:13" ht="15" customHeight="1">
      <c r="A81" s="32" t="s">
        <v>19</v>
      </c>
      <c r="B81" s="113">
        <f>F74/K33</f>
        <v>0</v>
      </c>
      <c r="C81" s="113">
        <f>$B$81</f>
        <v>0</v>
      </c>
      <c r="D81" s="113">
        <f t="shared" ref="D81:I81" si="33">$B$81</f>
        <v>0</v>
      </c>
      <c r="E81" s="113">
        <f t="shared" si="33"/>
        <v>0</v>
      </c>
      <c r="F81" s="113">
        <f t="shared" si="33"/>
        <v>0</v>
      </c>
      <c r="G81" s="113">
        <f t="shared" si="33"/>
        <v>0</v>
      </c>
      <c r="H81" s="113">
        <f t="shared" si="33"/>
        <v>0</v>
      </c>
      <c r="I81" s="354">
        <f t="shared" si="33"/>
        <v>0</v>
      </c>
      <c r="J81" s="23"/>
    </row>
    <row r="82" spans="1:13" ht="15" customHeight="1">
      <c r="A82" s="33" t="s">
        <v>20</v>
      </c>
      <c r="B82" s="161">
        <f>B81*B33</f>
        <v>0</v>
      </c>
      <c r="C82" s="161">
        <f t="shared" ref="C82:I82" si="34">C81*C33</f>
        <v>0</v>
      </c>
      <c r="D82" s="161">
        <f t="shared" si="34"/>
        <v>0</v>
      </c>
      <c r="E82" s="161">
        <f t="shared" si="34"/>
        <v>0</v>
      </c>
      <c r="F82" s="161">
        <f t="shared" si="34"/>
        <v>0</v>
      </c>
      <c r="G82" s="161">
        <f t="shared" si="34"/>
        <v>0</v>
      </c>
      <c r="H82" s="161">
        <f t="shared" si="34"/>
        <v>0</v>
      </c>
      <c r="I82" s="355">
        <f t="shared" si="34"/>
        <v>0</v>
      </c>
      <c r="J82" s="23"/>
      <c r="K82" s="23"/>
    </row>
    <row r="83" spans="1:13" ht="15" customHeight="1">
      <c r="A83" s="346" t="s">
        <v>21</v>
      </c>
      <c r="B83" s="347" t="s">
        <v>292</v>
      </c>
      <c r="C83" s="347" t="s">
        <v>293</v>
      </c>
      <c r="D83" s="347" t="s">
        <v>294</v>
      </c>
      <c r="E83" s="347" t="s">
        <v>295</v>
      </c>
      <c r="F83" s="347" t="s">
        <v>296</v>
      </c>
      <c r="G83" s="347" t="s">
        <v>297</v>
      </c>
      <c r="H83" s="347" t="s">
        <v>298</v>
      </c>
      <c r="I83" s="347" t="s">
        <v>299</v>
      </c>
      <c r="J83" s="118"/>
    </row>
    <row r="84" spans="1:13" ht="15" customHeight="1">
      <c r="A84" s="343" t="s">
        <v>22</v>
      </c>
      <c r="B84" s="120">
        <f>B18-B41-B69</f>
        <v>19978.775180505756</v>
      </c>
      <c r="C84" s="120">
        <f t="shared" ref="C84:I84" si="35">C18-C41-C69</f>
        <v>40850.130147443953</v>
      </c>
      <c r="D84" s="120">
        <f t="shared" si="35"/>
        <v>63183.14261396497</v>
      </c>
      <c r="E84" s="120">
        <f t="shared" si="35"/>
        <v>87012.444951434358</v>
      </c>
      <c r="F84" s="120">
        <f t="shared" si="35"/>
        <v>119201.5882023572</v>
      </c>
      <c r="G84" s="120">
        <f t="shared" si="35"/>
        <v>142635.64907396858</v>
      </c>
      <c r="H84" s="120">
        <f t="shared" si="35"/>
        <v>165921.0774020658</v>
      </c>
      <c r="I84" s="120">
        <f t="shared" si="35"/>
        <v>190067.98224373115</v>
      </c>
      <c r="J84" s="118"/>
    </row>
    <row r="85" spans="1:13" ht="15" customHeight="1">
      <c r="A85" s="343" t="s">
        <v>242</v>
      </c>
      <c r="B85" s="120">
        <f>B19-B42-B55-B70</f>
        <v>18072.571600944178</v>
      </c>
      <c r="C85" s="120">
        <f>C19-C42-C55-C70</f>
        <v>22171.536402830083</v>
      </c>
      <c r="D85" s="120">
        <f>D19-D42-D55-D70</f>
        <v>27026.114870807633</v>
      </c>
      <c r="E85" s="120">
        <f>E19-E42-E55-E70</f>
        <v>32291.620699450858</v>
      </c>
      <c r="F85" s="120">
        <f>F19-F55-F70</f>
        <v>41079.242593030533</v>
      </c>
      <c r="G85" s="120">
        <f t="shared" ref="G85:I85" si="36">G19-G55-G70</f>
        <v>45513.969383070711</v>
      </c>
      <c r="H85" s="120">
        <f t="shared" si="36"/>
        <v>49918.794041238434</v>
      </c>
      <c r="I85" s="309">
        <f t="shared" si="36"/>
        <v>54584.345096304482</v>
      </c>
      <c r="J85" s="310"/>
    </row>
    <row r="86" spans="1:13" ht="15" customHeight="1">
      <c r="A86" s="343" t="s">
        <v>268</v>
      </c>
      <c r="B86" s="120">
        <f>SUM(B84:B85)</f>
        <v>38051.346781449931</v>
      </c>
      <c r="C86" s="120">
        <f t="shared" ref="C86:I86" si="37">SUM(C84:C85)</f>
        <v>63021.666550274036</v>
      </c>
      <c r="D86" s="120">
        <f t="shared" si="37"/>
        <v>90209.257484772606</v>
      </c>
      <c r="E86" s="120">
        <f t="shared" si="37"/>
        <v>119304.06565088521</v>
      </c>
      <c r="F86" s="120">
        <f t="shared" si="37"/>
        <v>160280.83079538774</v>
      </c>
      <c r="G86" s="120">
        <f t="shared" si="37"/>
        <v>188149.61845703929</v>
      </c>
      <c r="H86" s="120">
        <f t="shared" si="37"/>
        <v>215839.87144330423</v>
      </c>
      <c r="I86" s="120">
        <f t="shared" si="37"/>
        <v>244652.32734003564</v>
      </c>
      <c r="J86" s="118"/>
    </row>
    <row r="87" spans="1:13" ht="15" customHeight="1" thickBot="1">
      <c r="A87" s="343" t="s">
        <v>269</v>
      </c>
      <c r="B87" s="34">
        <f>IF((B21-B43-B57-B72&gt;0), (B21-B43-B57-B72), 0)</f>
        <v>0</v>
      </c>
      <c r="C87" s="34">
        <f>IF((C21-C43-C57-C72&gt;0), (C21-C43-C57-C72), 0)</f>
        <v>0</v>
      </c>
      <c r="D87" s="34">
        <f>IF((D21-D43-D57-D72&gt;0), (D21-D43-D57-D72), 0)</f>
        <v>3941.1460083670054</v>
      </c>
      <c r="E87" s="34">
        <f>IF((E21-E43-E57-E72&gt;0), (E21-E43-E57-E72), 0)</f>
        <v>4969.2039588183352</v>
      </c>
      <c r="F87" s="34">
        <f>IF((F21-F57-F72&gt;0), (F21-F57-F72), 0)</f>
        <v>5978.3004520924287</v>
      </c>
      <c r="G87" s="34">
        <f>IF((G21-G57-G72&gt;0), (G21-G57-G72), 0)</f>
        <v>6989.135360271559</v>
      </c>
      <c r="H87" s="34">
        <f>IF((H21-H57-H72&gt;0), (H21-H57-H72), 0)</f>
        <v>7993.4788165148184</v>
      </c>
      <c r="I87" s="34">
        <f>IF((I21-I57-I72&gt;0), (I21-I57-I72), 0)</f>
        <v>9039.3948245727115</v>
      </c>
      <c r="J87" s="118"/>
    </row>
    <row r="88" spans="1:13" ht="15" customHeight="1" thickBot="1">
      <c r="A88" s="344" t="s">
        <v>23</v>
      </c>
      <c r="B88" s="223">
        <v>0</v>
      </c>
      <c r="C88" s="35">
        <f t="shared" ref="C88:I88" si="38">$B$88</f>
        <v>0</v>
      </c>
      <c r="D88" s="36">
        <f t="shared" si="38"/>
        <v>0</v>
      </c>
      <c r="E88" s="36">
        <f t="shared" si="38"/>
        <v>0</v>
      </c>
      <c r="F88" s="36">
        <f t="shared" si="38"/>
        <v>0</v>
      </c>
      <c r="G88" s="36">
        <f t="shared" si="38"/>
        <v>0</v>
      </c>
      <c r="H88" s="36">
        <f t="shared" si="38"/>
        <v>0</v>
      </c>
      <c r="I88" s="36">
        <f t="shared" si="38"/>
        <v>0</v>
      </c>
      <c r="J88" s="118"/>
      <c r="M88" s="6"/>
    </row>
    <row r="89" spans="1:13" ht="15" customHeight="1" thickBot="1">
      <c r="A89" s="343" t="s">
        <v>231</v>
      </c>
      <c r="B89" s="37">
        <f>1-B88</f>
        <v>1</v>
      </c>
      <c r="C89" s="36">
        <f t="shared" ref="C89:I89" si="39">$B$89</f>
        <v>1</v>
      </c>
      <c r="D89" s="36">
        <f t="shared" si="39"/>
        <v>1</v>
      </c>
      <c r="E89" s="36">
        <f t="shared" si="39"/>
        <v>1</v>
      </c>
      <c r="F89" s="36">
        <f t="shared" si="39"/>
        <v>1</v>
      </c>
      <c r="G89" s="36">
        <f t="shared" si="39"/>
        <v>1</v>
      </c>
      <c r="H89" s="36">
        <f t="shared" si="39"/>
        <v>1</v>
      </c>
      <c r="I89" s="36">
        <f t="shared" si="39"/>
        <v>1</v>
      </c>
      <c r="J89" s="118"/>
    </row>
    <row r="90" spans="1:13" ht="15" customHeight="1" thickBot="1">
      <c r="A90" s="344" t="s">
        <v>24</v>
      </c>
      <c r="B90" s="223">
        <v>0.05</v>
      </c>
      <c r="C90" s="35">
        <f t="shared" ref="C90:I90" si="40">$B$90</f>
        <v>0.05</v>
      </c>
      <c r="D90" s="36">
        <f t="shared" si="40"/>
        <v>0.05</v>
      </c>
      <c r="E90" s="36">
        <f t="shared" si="40"/>
        <v>0.05</v>
      </c>
      <c r="F90" s="36">
        <f t="shared" si="40"/>
        <v>0.05</v>
      </c>
      <c r="G90" s="36">
        <f t="shared" si="40"/>
        <v>0.05</v>
      </c>
      <c r="H90" s="36">
        <f t="shared" si="40"/>
        <v>0.05</v>
      </c>
      <c r="I90" s="36">
        <f t="shared" si="40"/>
        <v>0.05</v>
      </c>
      <c r="J90" s="118"/>
      <c r="M90" s="6"/>
    </row>
    <row r="91" spans="1:13" ht="15" customHeight="1">
      <c r="A91" s="343" t="s">
        <v>232</v>
      </c>
      <c r="B91" s="38">
        <f>1-B90</f>
        <v>0.95</v>
      </c>
      <c r="C91" s="36">
        <f t="shared" ref="C91:I91" si="41">$B$91</f>
        <v>0.95</v>
      </c>
      <c r="D91" s="36">
        <f t="shared" si="41"/>
        <v>0.95</v>
      </c>
      <c r="E91" s="36">
        <f t="shared" si="41"/>
        <v>0.95</v>
      </c>
      <c r="F91" s="36">
        <f t="shared" si="41"/>
        <v>0.95</v>
      </c>
      <c r="G91" s="36">
        <f t="shared" si="41"/>
        <v>0.95</v>
      </c>
      <c r="H91" s="36">
        <f t="shared" si="41"/>
        <v>0.95</v>
      </c>
      <c r="I91" s="36">
        <f t="shared" si="41"/>
        <v>0.95</v>
      </c>
      <c r="J91" s="118"/>
    </row>
    <row r="92" spans="1:13" ht="15" customHeight="1">
      <c r="A92" s="343" t="s">
        <v>25</v>
      </c>
      <c r="B92" s="39">
        <f>B86*B88</f>
        <v>0</v>
      </c>
      <c r="C92" s="39">
        <f t="shared" ref="C92:I92" si="42">C86*C88</f>
        <v>0</v>
      </c>
      <c r="D92" s="39">
        <f t="shared" si="42"/>
        <v>0</v>
      </c>
      <c r="E92" s="39">
        <f t="shared" si="42"/>
        <v>0</v>
      </c>
      <c r="F92" s="39">
        <f t="shared" si="42"/>
        <v>0</v>
      </c>
      <c r="G92" s="39">
        <f t="shared" si="42"/>
        <v>0</v>
      </c>
      <c r="H92" s="39">
        <f t="shared" si="42"/>
        <v>0</v>
      </c>
      <c r="I92" s="39">
        <f t="shared" si="42"/>
        <v>0</v>
      </c>
      <c r="J92" s="118"/>
    </row>
    <row r="93" spans="1:13" ht="15" customHeight="1">
      <c r="A93" s="343" t="s">
        <v>243</v>
      </c>
      <c r="B93" s="39">
        <f>B89*B84</f>
        <v>19978.775180505756</v>
      </c>
      <c r="C93" s="39">
        <f t="shared" ref="C93:I93" si="43">C89*C84</f>
        <v>40850.130147443953</v>
      </c>
      <c r="D93" s="39">
        <f t="shared" si="43"/>
        <v>63183.14261396497</v>
      </c>
      <c r="E93" s="39">
        <f t="shared" si="43"/>
        <v>87012.444951434358</v>
      </c>
      <c r="F93" s="39">
        <f t="shared" si="43"/>
        <v>119201.5882023572</v>
      </c>
      <c r="G93" s="39">
        <f t="shared" si="43"/>
        <v>142635.64907396858</v>
      </c>
      <c r="H93" s="39">
        <f t="shared" si="43"/>
        <v>165921.0774020658</v>
      </c>
      <c r="I93" s="39">
        <f t="shared" si="43"/>
        <v>190067.98224373115</v>
      </c>
      <c r="J93" s="118"/>
    </row>
    <row r="94" spans="1:13" ht="15" customHeight="1">
      <c r="A94" s="343" t="s">
        <v>26</v>
      </c>
      <c r="B94" s="39">
        <f>SUM(B92:B93)</f>
        <v>19978.775180505756</v>
      </c>
      <c r="C94" s="39">
        <f t="shared" ref="C94:I94" si="44">SUM(C92:C93)</f>
        <v>40850.130147443953</v>
      </c>
      <c r="D94" s="39">
        <f t="shared" si="44"/>
        <v>63183.14261396497</v>
      </c>
      <c r="E94" s="39">
        <f t="shared" si="44"/>
        <v>87012.444951434358</v>
      </c>
      <c r="F94" s="39">
        <f t="shared" si="44"/>
        <v>119201.5882023572</v>
      </c>
      <c r="G94" s="39">
        <f t="shared" si="44"/>
        <v>142635.64907396858</v>
      </c>
      <c r="H94" s="39">
        <f t="shared" si="44"/>
        <v>165921.0774020658</v>
      </c>
      <c r="I94" s="39">
        <f t="shared" si="44"/>
        <v>190067.98224373115</v>
      </c>
      <c r="J94" s="118"/>
    </row>
    <row r="95" spans="1:13" ht="15" customHeight="1">
      <c r="A95" s="343" t="s">
        <v>244</v>
      </c>
      <c r="B95" s="39">
        <f>B89*B85</f>
        <v>18072.571600944178</v>
      </c>
      <c r="C95" s="39">
        <f t="shared" ref="C95:I95" si="45">C89*C85</f>
        <v>22171.536402830083</v>
      </c>
      <c r="D95" s="39">
        <f t="shared" si="45"/>
        <v>27026.114870807633</v>
      </c>
      <c r="E95" s="39">
        <f t="shared" si="45"/>
        <v>32291.620699450858</v>
      </c>
      <c r="F95" s="39">
        <f t="shared" si="45"/>
        <v>41079.242593030533</v>
      </c>
      <c r="G95" s="39">
        <f t="shared" si="45"/>
        <v>45513.969383070711</v>
      </c>
      <c r="H95" s="39">
        <f t="shared" si="45"/>
        <v>49918.794041238434</v>
      </c>
      <c r="I95" s="39">
        <f t="shared" si="45"/>
        <v>54584.345096304482</v>
      </c>
      <c r="J95" s="118"/>
    </row>
    <row r="96" spans="1:13" ht="15" customHeight="1">
      <c r="A96" s="343" t="s">
        <v>27</v>
      </c>
      <c r="B96" s="39">
        <f>B90*B87</f>
        <v>0</v>
      </c>
      <c r="C96" s="39">
        <f t="shared" ref="C96:I96" si="46">C90*C87</f>
        <v>0</v>
      </c>
      <c r="D96" s="39">
        <f t="shared" si="46"/>
        <v>197.05730041835028</v>
      </c>
      <c r="E96" s="39">
        <f t="shared" si="46"/>
        <v>248.46019794091677</v>
      </c>
      <c r="F96" s="39">
        <f t="shared" si="46"/>
        <v>298.91502260462147</v>
      </c>
      <c r="G96" s="39">
        <f t="shared" si="46"/>
        <v>349.45676801357797</v>
      </c>
      <c r="H96" s="39">
        <f t="shared" si="46"/>
        <v>399.67394082574094</v>
      </c>
      <c r="I96" s="39">
        <f t="shared" si="46"/>
        <v>451.9697412286356</v>
      </c>
      <c r="J96" s="118"/>
    </row>
    <row r="97" spans="1:13" ht="15" customHeight="1">
      <c r="A97" s="343" t="s">
        <v>245</v>
      </c>
      <c r="B97" s="40">
        <f>B87*B91</f>
        <v>0</v>
      </c>
      <c r="C97" s="40">
        <f t="shared" ref="C97:I97" si="47">C87*C91</f>
        <v>0</v>
      </c>
      <c r="D97" s="40">
        <f t="shared" si="47"/>
        <v>3744.0887079486552</v>
      </c>
      <c r="E97" s="40">
        <f t="shared" si="47"/>
        <v>4720.743760877418</v>
      </c>
      <c r="F97" s="40">
        <f t="shared" si="47"/>
        <v>5679.3854294878074</v>
      </c>
      <c r="G97" s="40">
        <f t="shared" si="47"/>
        <v>6639.6785922579811</v>
      </c>
      <c r="H97" s="40">
        <f t="shared" si="47"/>
        <v>7593.8048756890776</v>
      </c>
      <c r="I97" s="40">
        <f t="shared" si="47"/>
        <v>8587.4250833440747</v>
      </c>
      <c r="J97" s="118"/>
    </row>
    <row r="98" spans="1:13" ht="15" customHeight="1">
      <c r="A98" s="343" t="s">
        <v>233</v>
      </c>
      <c r="B98" s="40">
        <f>B94+B96</f>
        <v>19978.775180505756</v>
      </c>
      <c r="C98" s="40">
        <f t="shared" ref="C98:I99" si="48">C94+C96</f>
        <v>40850.130147443953</v>
      </c>
      <c r="D98" s="40">
        <f t="shared" si="48"/>
        <v>63380.199914383324</v>
      </c>
      <c r="E98" s="40">
        <f t="shared" si="48"/>
        <v>87260.905149375278</v>
      </c>
      <c r="F98" s="40">
        <f t="shared" si="48"/>
        <v>119500.50322496182</v>
      </c>
      <c r="G98" s="40">
        <f t="shared" si="48"/>
        <v>142985.10584198215</v>
      </c>
      <c r="H98" s="40">
        <f t="shared" si="48"/>
        <v>166320.75134289154</v>
      </c>
      <c r="I98" s="40">
        <f t="shared" si="48"/>
        <v>190519.9519849598</v>
      </c>
      <c r="J98" s="118"/>
    </row>
    <row r="99" spans="1:13" ht="15" customHeight="1">
      <c r="A99" s="345" t="s">
        <v>234</v>
      </c>
      <c r="B99" s="342">
        <f>B95+B97</f>
        <v>18072.571600944178</v>
      </c>
      <c r="C99" s="342">
        <f t="shared" si="48"/>
        <v>22171.536402830083</v>
      </c>
      <c r="D99" s="342">
        <f t="shared" si="48"/>
        <v>30770.203578756289</v>
      </c>
      <c r="E99" s="342">
        <f t="shared" si="48"/>
        <v>37012.364460328274</v>
      </c>
      <c r="F99" s="342">
        <f t="shared" si="48"/>
        <v>46758.628022518344</v>
      </c>
      <c r="G99" s="342">
        <f t="shared" si="48"/>
        <v>52153.647975328691</v>
      </c>
      <c r="H99" s="342">
        <f t="shared" si="48"/>
        <v>57512.598916927513</v>
      </c>
      <c r="I99" s="342">
        <f t="shared" si="48"/>
        <v>63171.770179648556</v>
      </c>
      <c r="J99" s="118"/>
    </row>
    <row r="100" spans="1:13" ht="15" customHeight="1">
      <c r="A100" s="216" t="s">
        <v>28</v>
      </c>
      <c r="B100" s="290" t="s">
        <v>292</v>
      </c>
      <c r="C100" s="290" t="s">
        <v>293</v>
      </c>
      <c r="D100" s="290" t="s">
        <v>294</v>
      </c>
      <c r="E100" s="290" t="s">
        <v>295</v>
      </c>
      <c r="F100" s="290" t="s">
        <v>296</v>
      </c>
      <c r="G100" s="290" t="s">
        <v>297</v>
      </c>
      <c r="H100" s="290" t="s">
        <v>298</v>
      </c>
      <c r="I100" s="335" t="s">
        <v>299</v>
      </c>
      <c r="J100" s="118"/>
    </row>
    <row r="101" spans="1:13" ht="15" customHeight="1">
      <c r="A101" s="41" t="s">
        <v>22</v>
      </c>
      <c r="B101" s="42">
        <f>B30-B47-B79</f>
        <v>17455.385904598807</v>
      </c>
      <c r="C101" s="42">
        <f t="shared" ref="C101:I101" si="49">C30-C47-C79</f>
        <v>41751.286223382107</v>
      </c>
      <c r="D101" s="42">
        <f t="shared" si="49"/>
        <v>73942.673808526917</v>
      </c>
      <c r="E101" s="42">
        <f t="shared" si="49"/>
        <v>114725.79810275842</v>
      </c>
      <c r="F101" s="42">
        <f t="shared" si="49"/>
        <v>157123.43630923951</v>
      </c>
      <c r="G101" s="42">
        <f t="shared" si="49"/>
        <v>188012.62349504133</v>
      </c>
      <c r="H101" s="42">
        <f t="shared" si="49"/>
        <v>218705.89335846074</v>
      </c>
      <c r="I101" s="336">
        <f t="shared" si="49"/>
        <v>250534.70304272335</v>
      </c>
      <c r="J101" s="118"/>
    </row>
    <row r="102" spans="1:13" ht="15" customHeight="1">
      <c r="A102" s="41" t="s">
        <v>242</v>
      </c>
      <c r="B102" s="42">
        <f>B31-B48-B60-B80</f>
        <v>34950.692527643543</v>
      </c>
      <c r="C102" s="42">
        <f t="shared" ref="C102:E102" si="50">C31-C48-C60-C80</f>
        <v>47118.366749066685</v>
      </c>
      <c r="D102" s="42">
        <f t="shared" si="50"/>
        <v>56396.937683138101</v>
      </c>
      <c r="E102" s="42">
        <f t="shared" si="50"/>
        <v>66256.488468953583</v>
      </c>
      <c r="F102" s="42">
        <f>F31-F60-F80</f>
        <v>80667.253187868642</v>
      </c>
      <c r="G102" s="42">
        <f t="shared" ref="G102:I102" si="51">G31-G60-G80</f>
        <v>89375.720194801455</v>
      </c>
      <c r="H102" s="42">
        <f t="shared" si="51"/>
        <v>98025.468425769752</v>
      </c>
      <c r="I102" s="336">
        <f t="shared" si="51"/>
        <v>107187.20473012392</v>
      </c>
      <c r="J102" s="118"/>
    </row>
    <row r="103" spans="1:13" ht="15" customHeight="1">
      <c r="A103" s="41" t="s">
        <v>268</v>
      </c>
      <c r="B103" s="42">
        <f>SUM(B101:B102)</f>
        <v>52406.07843224235</v>
      </c>
      <c r="C103" s="42">
        <f t="shared" ref="C103:I103" si="52">SUM(C101:C102)</f>
        <v>88869.652972448792</v>
      </c>
      <c r="D103" s="42">
        <f t="shared" si="52"/>
        <v>130339.61149166501</v>
      </c>
      <c r="E103" s="42">
        <f t="shared" si="52"/>
        <v>180982.286571712</v>
      </c>
      <c r="F103" s="42">
        <f t="shared" si="52"/>
        <v>237790.68949710816</v>
      </c>
      <c r="G103" s="42">
        <f t="shared" si="52"/>
        <v>277388.34368984279</v>
      </c>
      <c r="H103" s="42">
        <f t="shared" si="52"/>
        <v>316731.36178423051</v>
      </c>
      <c r="I103" s="336">
        <f t="shared" si="52"/>
        <v>357721.90777284728</v>
      </c>
      <c r="J103" s="118"/>
    </row>
    <row r="104" spans="1:13" ht="15" customHeight="1" thickBot="1">
      <c r="A104" s="41" t="s">
        <v>269</v>
      </c>
      <c r="B104" s="43">
        <f>IF((B33-B49-B62-B82)&gt;0, B33-B49-B62-B82, 0)</f>
        <v>0</v>
      </c>
      <c r="C104" s="43">
        <f t="shared" ref="C104:I104" si="53">IF((C33-C49-C62-C82)&gt;0, C33-C49-C62-C82, 0)</f>
        <v>0</v>
      </c>
      <c r="D104" s="43">
        <f t="shared" si="53"/>
        <v>14072.445422960396</v>
      </c>
      <c r="E104" s="43">
        <f t="shared" si="53"/>
        <v>17743.278568612193</v>
      </c>
      <c r="F104" s="43">
        <f t="shared" si="53"/>
        <v>21346.407023623251</v>
      </c>
      <c r="G104" s="43">
        <f t="shared" si="53"/>
        <v>24955.742746475102</v>
      </c>
      <c r="H104" s="43">
        <f t="shared" si="53"/>
        <v>28541.899778943647</v>
      </c>
      <c r="I104" s="337">
        <f t="shared" si="53"/>
        <v>32276.497763679025</v>
      </c>
      <c r="J104" s="118"/>
    </row>
    <row r="105" spans="1:13" ht="15" customHeight="1" thickBot="1">
      <c r="A105" s="44" t="s">
        <v>23</v>
      </c>
      <c r="B105" s="223">
        <v>0</v>
      </c>
      <c r="C105" s="45">
        <f>$B$105</f>
        <v>0</v>
      </c>
      <c r="D105" s="46">
        <f t="shared" ref="D105:I105" si="54">$B$105</f>
        <v>0</v>
      </c>
      <c r="E105" s="46">
        <f t="shared" si="54"/>
        <v>0</v>
      </c>
      <c r="F105" s="46">
        <f t="shared" si="54"/>
        <v>0</v>
      </c>
      <c r="G105" s="46">
        <f t="shared" si="54"/>
        <v>0</v>
      </c>
      <c r="H105" s="46">
        <f t="shared" si="54"/>
        <v>0</v>
      </c>
      <c r="I105" s="338">
        <f t="shared" si="54"/>
        <v>0</v>
      </c>
      <c r="J105" s="118"/>
      <c r="M105" s="6"/>
    </row>
    <row r="106" spans="1:13" ht="15" customHeight="1" thickBot="1">
      <c r="A106" s="41" t="s">
        <v>231</v>
      </c>
      <c r="B106" s="47">
        <f>1-B105</f>
        <v>1</v>
      </c>
      <c r="C106" s="46">
        <f>$B$106</f>
        <v>1</v>
      </c>
      <c r="D106" s="46">
        <f t="shared" ref="D106:I106" si="55">$B$106</f>
        <v>1</v>
      </c>
      <c r="E106" s="46">
        <f t="shared" si="55"/>
        <v>1</v>
      </c>
      <c r="F106" s="46">
        <f t="shared" si="55"/>
        <v>1</v>
      </c>
      <c r="G106" s="46">
        <f t="shared" si="55"/>
        <v>1</v>
      </c>
      <c r="H106" s="46">
        <f t="shared" si="55"/>
        <v>1</v>
      </c>
      <c r="I106" s="338">
        <f t="shared" si="55"/>
        <v>1</v>
      </c>
      <c r="J106" s="118"/>
    </row>
    <row r="107" spans="1:13" ht="15" customHeight="1" thickBot="1">
      <c r="A107" s="44" t="s">
        <v>24</v>
      </c>
      <c r="B107" s="223">
        <v>0.05</v>
      </c>
      <c r="C107" s="45">
        <f>$B$107</f>
        <v>0.05</v>
      </c>
      <c r="D107" s="46">
        <f t="shared" ref="D107:I107" si="56">$B$107</f>
        <v>0.05</v>
      </c>
      <c r="E107" s="46">
        <f t="shared" si="56"/>
        <v>0.05</v>
      </c>
      <c r="F107" s="46">
        <f t="shared" si="56"/>
        <v>0.05</v>
      </c>
      <c r="G107" s="46">
        <f t="shared" si="56"/>
        <v>0.05</v>
      </c>
      <c r="H107" s="46">
        <f t="shared" si="56"/>
        <v>0.05</v>
      </c>
      <c r="I107" s="338">
        <f t="shared" si="56"/>
        <v>0.05</v>
      </c>
      <c r="J107" s="118"/>
      <c r="M107" s="6"/>
    </row>
    <row r="108" spans="1:13" ht="15" customHeight="1">
      <c r="A108" s="41" t="s">
        <v>232</v>
      </c>
      <c r="B108" s="48">
        <f>1-B107</f>
        <v>0.95</v>
      </c>
      <c r="C108" s="46">
        <f>$B$108</f>
        <v>0.95</v>
      </c>
      <c r="D108" s="46">
        <f t="shared" ref="D108:I108" si="57">$B$108</f>
        <v>0.95</v>
      </c>
      <c r="E108" s="46">
        <f t="shared" si="57"/>
        <v>0.95</v>
      </c>
      <c r="F108" s="46">
        <f t="shared" si="57"/>
        <v>0.95</v>
      </c>
      <c r="G108" s="46">
        <f t="shared" si="57"/>
        <v>0.95</v>
      </c>
      <c r="H108" s="46">
        <f t="shared" si="57"/>
        <v>0.95</v>
      </c>
      <c r="I108" s="338">
        <f t="shared" si="57"/>
        <v>0.95</v>
      </c>
      <c r="J108" s="118"/>
    </row>
    <row r="109" spans="1:13" ht="15" customHeight="1">
      <c r="A109" s="41" t="s">
        <v>25</v>
      </c>
      <c r="B109" s="49">
        <f>B103*B105</f>
        <v>0</v>
      </c>
      <c r="C109" s="49">
        <f t="shared" ref="C109:I109" si="58">C103*C105</f>
        <v>0</v>
      </c>
      <c r="D109" s="49">
        <f t="shared" si="58"/>
        <v>0</v>
      </c>
      <c r="E109" s="49">
        <f t="shared" si="58"/>
        <v>0</v>
      </c>
      <c r="F109" s="49">
        <f t="shared" si="58"/>
        <v>0</v>
      </c>
      <c r="G109" s="49">
        <f t="shared" si="58"/>
        <v>0</v>
      </c>
      <c r="H109" s="49">
        <f t="shared" si="58"/>
        <v>0</v>
      </c>
      <c r="I109" s="339">
        <f t="shared" si="58"/>
        <v>0</v>
      </c>
      <c r="J109" s="118"/>
    </row>
    <row r="110" spans="1:13" ht="15" customHeight="1">
      <c r="A110" s="41" t="s">
        <v>243</v>
      </c>
      <c r="B110" s="49">
        <f>B106*B101</f>
        <v>17455.385904598807</v>
      </c>
      <c r="C110" s="49">
        <f t="shared" ref="C110:I110" si="59">C106*C101</f>
        <v>41751.286223382107</v>
      </c>
      <c r="D110" s="49">
        <f t="shared" si="59"/>
        <v>73942.673808526917</v>
      </c>
      <c r="E110" s="49">
        <f t="shared" si="59"/>
        <v>114725.79810275842</v>
      </c>
      <c r="F110" s="49">
        <f t="shared" si="59"/>
        <v>157123.43630923951</v>
      </c>
      <c r="G110" s="49">
        <f t="shared" si="59"/>
        <v>188012.62349504133</v>
      </c>
      <c r="H110" s="49">
        <f t="shared" si="59"/>
        <v>218705.89335846074</v>
      </c>
      <c r="I110" s="339">
        <f t="shared" si="59"/>
        <v>250534.70304272335</v>
      </c>
      <c r="J110" s="118"/>
    </row>
    <row r="111" spans="1:13" ht="15" customHeight="1">
      <c r="A111" s="41" t="s">
        <v>26</v>
      </c>
      <c r="B111" s="49">
        <f>SUM(B109:B110)</f>
        <v>17455.385904598807</v>
      </c>
      <c r="C111" s="49">
        <f t="shared" ref="C111:I111" si="60">SUM(C109:C110)</f>
        <v>41751.286223382107</v>
      </c>
      <c r="D111" s="49">
        <f t="shared" si="60"/>
        <v>73942.673808526917</v>
      </c>
      <c r="E111" s="49">
        <f t="shared" si="60"/>
        <v>114725.79810275842</v>
      </c>
      <c r="F111" s="49">
        <f t="shared" si="60"/>
        <v>157123.43630923951</v>
      </c>
      <c r="G111" s="49">
        <f t="shared" si="60"/>
        <v>188012.62349504133</v>
      </c>
      <c r="H111" s="49">
        <f t="shared" si="60"/>
        <v>218705.89335846074</v>
      </c>
      <c r="I111" s="339">
        <f t="shared" si="60"/>
        <v>250534.70304272335</v>
      </c>
      <c r="J111" s="118"/>
    </row>
    <row r="112" spans="1:13" ht="15" customHeight="1">
      <c r="A112" s="41" t="s">
        <v>244</v>
      </c>
      <c r="B112" s="49">
        <f>B106*B102</f>
        <v>34950.692527643543</v>
      </c>
      <c r="C112" s="49">
        <f t="shared" ref="C112:I112" si="61">C106*C102</f>
        <v>47118.366749066685</v>
      </c>
      <c r="D112" s="49">
        <f t="shared" si="61"/>
        <v>56396.937683138101</v>
      </c>
      <c r="E112" s="49">
        <f t="shared" si="61"/>
        <v>66256.488468953583</v>
      </c>
      <c r="F112" s="49">
        <f t="shared" si="61"/>
        <v>80667.253187868642</v>
      </c>
      <c r="G112" s="49">
        <f t="shared" si="61"/>
        <v>89375.720194801455</v>
      </c>
      <c r="H112" s="49">
        <f t="shared" si="61"/>
        <v>98025.468425769752</v>
      </c>
      <c r="I112" s="339">
        <f t="shared" si="61"/>
        <v>107187.20473012392</v>
      </c>
      <c r="J112" s="118"/>
    </row>
    <row r="113" spans="1:13" ht="15" customHeight="1">
      <c r="A113" s="41" t="s">
        <v>27</v>
      </c>
      <c r="B113" s="49">
        <f>B107*B104</f>
        <v>0</v>
      </c>
      <c r="C113" s="49">
        <f t="shared" ref="C113:I113" si="62">C107*C104</f>
        <v>0</v>
      </c>
      <c r="D113" s="49">
        <f t="shared" si="62"/>
        <v>703.62227114801988</v>
      </c>
      <c r="E113" s="49">
        <f t="shared" si="62"/>
        <v>887.16392843060976</v>
      </c>
      <c r="F113" s="49">
        <f t="shared" si="62"/>
        <v>1067.3203511811626</v>
      </c>
      <c r="G113" s="49">
        <f t="shared" si="62"/>
        <v>1247.7871373237551</v>
      </c>
      <c r="H113" s="49">
        <f t="shared" si="62"/>
        <v>1427.0949889471824</v>
      </c>
      <c r="I113" s="339">
        <f t="shared" si="62"/>
        <v>1613.8248881839513</v>
      </c>
      <c r="J113" s="118"/>
    </row>
    <row r="114" spans="1:13" ht="15" customHeight="1">
      <c r="A114" s="41" t="s">
        <v>245</v>
      </c>
      <c r="B114" s="50">
        <f>B104*B108</f>
        <v>0</v>
      </c>
      <c r="C114" s="50">
        <f t="shared" ref="C114:I114" si="63">C104*C108</f>
        <v>0</v>
      </c>
      <c r="D114" s="50">
        <f t="shared" si="63"/>
        <v>13368.823151812376</v>
      </c>
      <c r="E114" s="50">
        <f t="shared" si="63"/>
        <v>16856.114640181582</v>
      </c>
      <c r="F114" s="50">
        <f t="shared" si="63"/>
        <v>20279.086672442088</v>
      </c>
      <c r="G114" s="50">
        <f t="shared" si="63"/>
        <v>23707.955609151344</v>
      </c>
      <c r="H114" s="50">
        <f t="shared" si="63"/>
        <v>27114.804789996462</v>
      </c>
      <c r="I114" s="340">
        <f t="shared" si="63"/>
        <v>30662.672875495071</v>
      </c>
      <c r="J114" s="118"/>
    </row>
    <row r="115" spans="1:13" ht="15" customHeight="1">
      <c r="A115" s="41" t="s">
        <v>233</v>
      </c>
      <c r="B115" s="50">
        <f>B111+B113</f>
        <v>17455.385904598807</v>
      </c>
      <c r="C115" s="50">
        <f t="shared" ref="C115:I116" si="64">C111+C113</f>
        <v>41751.286223382107</v>
      </c>
      <c r="D115" s="50">
        <f t="shared" si="64"/>
        <v>74646.296079674939</v>
      </c>
      <c r="E115" s="50">
        <f t="shared" si="64"/>
        <v>115612.96203118903</v>
      </c>
      <c r="F115" s="50">
        <f t="shared" si="64"/>
        <v>158190.75666042068</v>
      </c>
      <c r="G115" s="50">
        <f t="shared" si="64"/>
        <v>189260.41063236509</v>
      </c>
      <c r="H115" s="50">
        <f t="shared" si="64"/>
        <v>220132.98834740793</v>
      </c>
      <c r="I115" s="340">
        <f t="shared" si="64"/>
        <v>252148.52793090729</v>
      </c>
      <c r="J115" s="118"/>
    </row>
    <row r="116" spans="1:13" ht="15" customHeight="1">
      <c r="A116" s="162" t="s">
        <v>234</v>
      </c>
      <c r="B116" s="163">
        <f>B112+B114</f>
        <v>34950.692527643543</v>
      </c>
      <c r="C116" s="163">
        <f t="shared" si="64"/>
        <v>47118.366749066685</v>
      </c>
      <c r="D116" s="163">
        <f t="shared" si="64"/>
        <v>69765.760834950474</v>
      </c>
      <c r="E116" s="163">
        <f t="shared" si="64"/>
        <v>83112.603109135162</v>
      </c>
      <c r="F116" s="163">
        <f t="shared" si="64"/>
        <v>100946.33986031073</v>
      </c>
      <c r="G116" s="163">
        <f t="shared" si="64"/>
        <v>113083.67580395279</v>
      </c>
      <c r="H116" s="163">
        <f t="shared" si="64"/>
        <v>125140.27321576621</v>
      </c>
      <c r="I116" s="341">
        <f t="shared" si="64"/>
        <v>137849.877605619</v>
      </c>
      <c r="J116" s="118"/>
      <c r="K116" s="130"/>
    </row>
    <row r="117" spans="1:13" ht="15" customHeight="1">
      <c r="A117" s="331" t="s">
        <v>29</v>
      </c>
      <c r="B117" s="332" t="s">
        <v>292</v>
      </c>
      <c r="C117" s="332" t="s">
        <v>293</v>
      </c>
      <c r="D117" s="332" t="s">
        <v>294</v>
      </c>
      <c r="E117" s="332" t="s">
        <v>295</v>
      </c>
      <c r="F117" s="332" t="s">
        <v>296</v>
      </c>
      <c r="G117" s="332" t="s">
        <v>297</v>
      </c>
      <c r="H117" s="332" t="s">
        <v>298</v>
      </c>
      <c r="I117" s="332" t="s">
        <v>299</v>
      </c>
      <c r="J117" s="118"/>
      <c r="K117" s="130"/>
    </row>
    <row r="118" spans="1:13" ht="15" customHeight="1" thickBot="1">
      <c r="A118" s="329" t="s">
        <v>149</v>
      </c>
      <c r="B118" s="285">
        <v>0</v>
      </c>
      <c r="C118" s="201">
        <f>B118</f>
        <v>0</v>
      </c>
      <c r="D118" s="165">
        <f>B118</f>
        <v>0</v>
      </c>
      <c r="E118" s="200">
        <f>B118</f>
        <v>0</v>
      </c>
      <c r="F118" s="285">
        <v>0</v>
      </c>
      <c r="G118" s="201">
        <f>F118</f>
        <v>0</v>
      </c>
      <c r="H118" s="165">
        <f>F118</f>
        <v>0</v>
      </c>
      <c r="I118" s="165">
        <f>F118</f>
        <v>0</v>
      </c>
      <c r="J118" s="118"/>
      <c r="K118" s="130"/>
    </row>
    <row r="119" spans="1:13" ht="15" customHeight="1">
      <c r="A119" s="203" t="s">
        <v>30</v>
      </c>
      <c r="B119" s="165">
        <f>1-B118</f>
        <v>1</v>
      </c>
      <c r="C119" s="52">
        <f t="shared" ref="C119:I119" si="65">1-C118</f>
        <v>1</v>
      </c>
      <c r="D119" s="52">
        <f t="shared" si="65"/>
        <v>1</v>
      </c>
      <c r="E119" s="52">
        <f t="shared" si="65"/>
        <v>1</v>
      </c>
      <c r="F119" s="165">
        <f t="shared" si="65"/>
        <v>1</v>
      </c>
      <c r="G119" s="52">
        <f t="shared" si="65"/>
        <v>1</v>
      </c>
      <c r="H119" s="52">
        <f t="shared" si="65"/>
        <v>1</v>
      </c>
      <c r="I119" s="52">
        <f t="shared" si="65"/>
        <v>1</v>
      </c>
      <c r="J119" s="118"/>
      <c r="K119" s="130"/>
    </row>
    <row r="120" spans="1:13" ht="15" customHeight="1">
      <c r="A120" s="330" t="s">
        <v>147</v>
      </c>
      <c r="B120" s="52">
        <f>Scenarios!C9</f>
        <v>0.35</v>
      </c>
      <c r="C120" s="52">
        <f>Scenarios!D9</f>
        <v>0.35</v>
      </c>
      <c r="D120" s="52">
        <f>Scenarios!E9</f>
        <v>0.35</v>
      </c>
      <c r="E120" s="52">
        <f>Scenarios!F9</f>
        <v>0.35</v>
      </c>
      <c r="F120" s="52">
        <f>Scenarios!G9</f>
        <v>0.45</v>
      </c>
      <c r="G120" s="52">
        <f>Scenarios!H9</f>
        <v>0.45</v>
      </c>
      <c r="H120" s="52">
        <f>Scenarios!I9</f>
        <v>0.45</v>
      </c>
      <c r="I120" s="52">
        <f>Scenarios!J9</f>
        <v>0.45</v>
      </c>
      <c r="J120" s="118"/>
      <c r="K120" s="130"/>
      <c r="M120" s="6"/>
    </row>
    <row r="121" spans="1:13" ht="15" customHeight="1" thickBot="1">
      <c r="A121" s="203" t="s">
        <v>31</v>
      </c>
      <c r="B121" s="205">
        <f>1-B120</f>
        <v>0.65</v>
      </c>
      <c r="C121" s="52">
        <f t="shared" ref="C121:I121" si="66">1-C120</f>
        <v>0.65</v>
      </c>
      <c r="D121" s="52">
        <f t="shared" si="66"/>
        <v>0.65</v>
      </c>
      <c r="E121" s="52">
        <f t="shared" si="66"/>
        <v>0.65</v>
      </c>
      <c r="F121" s="205">
        <f t="shared" si="66"/>
        <v>0.55000000000000004</v>
      </c>
      <c r="G121" s="52">
        <f t="shared" si="66"/>
        <v>0.55000000000000004</v>
      </c>
      <c r="H121" s="52">
        <f t="shared" si="66"/>
        <v>0.55000000000000004</v>
      </c>
      <c r="I121" s="52">
        <f t="shared" si="66"/>
        <v>0.55000000000000004</v>
      </c>
      <c r="J121" s="118"/>
      <c r="K121" s="130"/>
    </row>
    <row r="122" spans="1:13" ht="15" customHeight="1" thickBot="1">
      <c r="A122" s="330" t="s">
        <v>148</v>
      </c>
      <c r="B122" s="223">
        <v>0</v>
      </c>
      <c r="C122" s="202">
        <f>B122</f>
        <v>0</v>
      </c>
      <c r="D122" s="52">
        <f>B122</f>
        <v>0</v>
      </c>
      <c r="E122" s="199">
        <f>B122</f>
        <v>0</v>
      </c>
      <c r="F122" s="223">
        <v>0</v>
      </c>
      <c r="G122" s="202">
        <f>F122</f>
        <v>0</v>
      </c>
      <c r="H122" s="52">
        <f>F122</f>
        <v>0</v>
      </c>
      <c r="I122" s="52">
        <f>F122</f>
        <v>0</v>
      </c>
      <c r="J122" s="118"/>
      <c r="K122" s="130"/>
    </row>
    <row r="123" spans="1:13" ht="15" customHeight="1">
      <c r="A123" s="203" t="s">
        <v>32</v>
      </c>
      <c r="B123" s="208">
        <f>1-B122</f>
        <v>1</v>
      </c>
      <c r="C123" s="52">
        <f t="shared" ref="C123:I123" si="67">1-C122</f>
        <v>1</v>
      </c>
      <c r="D123" s="52">
        <f t="shared" si="67"/>
        <v>1</v>
      </c>
      <c r="E123" s="52">
        <f t="shared" si="67"/>
        <v>1</v>
      </c>
      <c r="F123" s="165">
        <f t="shared" si="67"/>
        <v>1</v>
      </c>
      <c r="G123" s="52">
        <f t="shared" si="67"/>
        <v>1</v>
      </c>
      <c r="H123" s="52">
        <f t="shared" si="67"/>
        <v>1</v>
      </c>
      <c r="I123" s="52">
        <f t="shared" si="67"/>
        <v>1</v>
      </c>
      <c r="J123" s="118"/>
      <c r="K123" s="130"/>
    </row>
    <row r="124" spans="1:13" ht="15" customHeight="1" thickBot="1">
      <c r="A124" s="203" t="s">
        <v>33</v>
      </c>
      <c r="B124" s="206">
        <f>Scenarios!C10</f>
        <v>150</v>
      </c>
      <c r="C124" s="103">
        <f>Scenarios!D10</f>
        <v>157.5</v>
      </c>
      <c r="D124" s="103">
        <f>Scenarios!E10</f>
        <v>165.375</v>
      </c>
      <c r="E124" s="103">
        <f>Scenarios!F10</f>
        <v>173.64375000000001</v>
      </c>
      <c r="F124" s="206">
        <f>Scenarios!G10</f>
        <v>182.32593750000001</v>
      </c>
      <c r="G124" s="103">
        <f>Scenarios!H10</f>
        <v>191.44223437500003</v>
      </c>
      <c r="H124" s="103">
        <f>Scenarios!I10</f>
        <v>201.01434609375005</v>
      </c>
      <c r="I124" s="103">
        <f>Scenarios!J10</f>
        <v>211.06506339843756</v>
      </c>
      <c r="J124" s="118"/>
      <c r="K124" s="130"/>
    </row>
    <row r="125" spans="1:13" ht="15" customHeight="1" thickBot="1">
      <c r="A125" s="330" t="s">
        <v>146</v>
      </c>
      <c r="B125" s="228">
        <v>300</v>
      </c>
      <c r="C125" s="203">
        <f>$B$125</f>
        <v>300</v>
      </c>
      <c r="D125" s="51">
        <f>$B$125</f>
        <v>300</v>
      </c>
      <c r="E125" s="97">
        <f>$B$125</f>
        <v>300</v>
      </c>
      <c r="F125" s="228">
        <v>300</v>
      </c>
      <c r="G125" s="203">
        <f>$F$125</f>
        <v>300</v>
      </c>
      <c r="H125" s="51">
        <f>$F$125</f>
        <v>300</v>
      </c>
      <c r="I125" s="51">
        <f>$F$125</f>
        <v>300</v>
      </c>
      <c r="J125" s="118"/>
      <c r="K125" s="130"/>
    </row>
    <row r="126" spans="1:13" ht="15.75" customHeight="1">
      <c r="A126" s="203" t="s">
        <v>34</v>
      </c>
      <c r="B126" s="209">
        <f>B124/0.7</f>
        <v>214.28571428571431</v>
      </c>
      <c r="C126" s="103">
        <f t="shared" ref="C126:I127" si="68">C124/0.7</f>
        <v>225.00000000000003</v>
      </c>
      <c r="D126" s="103">
        <f t="shared" si="68"/>
        <v>236.25000000000003</v>
      </c>
      <c r="E126" s="103">
        <f t="shared" si="68"/>
        <v>248.06250000000003</v>
      </c>
      <c r="F126" s="209">
        <f t="shared" si="68"/>
        <v>260.46562500000005</v>
      </c>
      <c r="G126" s="103">
        <f t="shared" si="68"/>
        <v>273.48890625000007</v>
      </c>
      <c r="H126" s="103">
        <f t="shared" si="68"/>
        <v>287.16335156250011</v>
      </c>
      <c r="I126" s="103">
        <f t="shared" si="68"/>
        <v>301.52151914062512</v>
      </c>
      <c r="J126" s="118"/>
      <c r="K126" s="130"/>
    </row>
    <row r="127" spans="1:13" ht="15" customHeight="1">
      <c r="A127" s="203" t="s">
        <v>226</v>
      </c>
      <c r="B127" s="103">
        <f>B125/0.7</f>
        <v>428.57142857142861</v>
      </c>
      <c r="C127" s="103">
        <f t="shared" si="68"/>
        <v>428.57142857142861</v>
      </c>
      <c r="D127" s="103">
        <f t="shared" si="68"/>
        <v>428.57142857142861</v>
      </c>
      <c r="E127" s="103">
        <f t="shared" si="68"/>
        <v>428.57142857142861</v>
      </c>
      <c r="F127" s="103">
        <f t="shared" si="68"/>
        <v>428.57142857142861</v>
      </c>
      <c r="G127" s="103">
        <f t="shared" si="68"/>
        <v>428.57142857142861</v>
      </c>
      <c r="H127" s="103">
        <f t="shared" si="68"/>
        <v>428.57142857142861</v>
      </c>
      <c r="I127" s="103">
        <f t="shared" si="68"/>
        <v>428.57142857142861</v>
      </c>
      <c r="J127" s="118"/>
      <c r="K127" s="130"/>
    </row>
    <row r="128" spans="1:13" ht="15" customHeight="1">
      <c r="A128" s="203" t="s">
        <v>35</v>
      </c>
      <c r="B128" s="104">
        <f>IF(((B126/100)+0.5)&lt;4, (B126/100)+0.5, 4)</f>
        <v>2.6428571428571432</v>
      </c>
      <c r="C128" s="104">
        <f t="shared" ref="C128:I129" si="69">IF(((C126/100)+0.5)&lt;4, (C126/100)+0.5, 4)</f>
        <v>2.7500000000000004</v>
      </c>
      <c r="D128" s="104">
        <f t="shared" si="69"/>
        <v>2.8625000000000003</v>
      </c>
      <c r="E128" s="104">
        <f t="shared" si="69"/>
        <v>2.9806250000000003</v>
      </c>
      <c r="F128" s="104">
        <f t="shared" si="69"/>
        <v>3.1046562500000006</v>
      </c>
      <c r="G128" s="104">
        <f t="shared" si="69"/>
        <v>3.2348890625000006</v>
      </c>
      <c r="H128" s="104">
        <f t="shared" si="69"/>
        <v>3.371633515625001</v>
      </c>
      <c r="I128" s="104">
        <f t="shared" si="69"/>
        <v>3.5152151914062513</v>
      </c>
      <c r="J128" s="118"/>
    </row>
    <row r="129" spans="1:11" ht="15" customHeight="1">
      <c r="A129" s="203" t="s">
        <v>227</v>
      </c>
      <c r="B129" s="105">
        <f>IF(((B127/100)+0.5)&lt;4, (B127/100)+0.5, 4)</f>
        <v>4</v>
      </c>
      <c r="C129" s="105">
        <f t="shared" si="69"/>
        <v>4</v>
      </c>
      <c r="D129" s="105">
        <f t="shared" si="69"/>
        <v>4</v>
      </c>
      <c r="E129" s="105">
        <f t="shared" si="69"/>
        <v>4</v>
      </c>
      <c r="F129" s="105">
        <f t="shared" si="69"/>
        <v>4</v>
      </c>
      <c r="G129" s="105">
        <f t="shared" si="69"/>
        <v>4</v>
      </c>
      <c r="H129" s="105">
        <f t="shared" si="69"/>
        <v>4</v>
      </c>
      <c r="I129" s="105">
        <f t="shared" si="69"/>
        <v>4</v>
      </c>
      <c r="J129" s="118"/>
    </row>
    <row r="130" spans="1:11" ht="15" customHeight="1">
      <c r="A130" s="203" t="s">
        <v>118</v>
      </c>
      <c r="B130" s="52">
        <f>Scenarios!C11</f>
        <v>0.65</v>
      </c>
      <c r="C130" s="52">
        <f>Scenarios!D11</f>
        <v>0.65</v>
      </c>
      <c r="D130" s="52">
        <f>Scenarios!E11</f>
        <v>0.65</v>
      </c>
      <c r="E130" s="52">
        <f>Scenarios!F11</f>
        <v>0.65</v>
      </c>
      <c r="F130" s="52">
        <f>Scenarios!G11</f>
        <v>0.5</v>
      </c>
      <c r="G130" s="52">
        <f>Scenarios!H11</f>
        <v>0.5</v>
      </c>
      <c r="H130" s="52">
        <f>Scenarios!I11</f>
        <v>0.5</v>
      </c>
      <c r="I130" s="52">
        <f>Scenarios!J11</f>
        <v>0.5</v>
      </c>
      <c r="J130" s="118"/>
    </row>
    <row r="131" spans="1:11" ht="15" customHeight="1" thickBot="1">
      <c r="A131" s="203" t="s">
        <v>119</v>
      </c>
      <c r="B131" s="207">
        <f>1-B130</f>
        <v>0.35</v>
      </c>
      <c r="C131" s="106">
        <f t="shared" ref="C131:I131" si="70">1-C130</f>
        <v>0.35</v>
      </c>
      <c r="D131" s="106">
        <f t="shared" si="70"/>
        <v>0.35</v>
      </c>
      <c r="E131" s="106">
        <f t="shared" si="70"/>
        <v>0.35</v>
      </c>
      <c r="F131" s="207">
        <f t="shared" si="70"/>
        <v>0.5</v>
      </c>
      <c r="G131" s="106">
        <f t="shared" si="70"/>
        <v>0.5</v>
      </c>
      <c r="H131" s="106">
        <f t="shared" si="70"/>
        <v>0.5</v>
      </c>
      <c r="I131" s="106">
        <f t="shared" si="70"/>
        <v>0.5</v>
      </c>
      <c r="J131" s="118"/>
    </row>
    <row r="132" spans="1:11" ht="15" customHeight="1" thickBot="1">
      <c r="A132" s="330" t="s">
        <v>179</v>
      </c>
      <c r="B132" s="225">
        <v>1</v>
      </c>
      <c r="C132" s="204">
        <f>$B$132</f>
        <v>1</v>
      </c>
      <c r="D132" s="106">
        <f>$B$132</f>
        <v>1</v>
      </c>
      <c r="E132" s="198">
        <f>$B$132</f>
        <v>1</v>
      </c>
      <c r="F132" s="229">
        <v>1</v>
      </c>
      <c r="G132" s="204">
        <f>$F$132</f>
        <v>1</v>
      </c>
      <c r="H132" s="106">
        <f>$F$132</f>
        <v>1</v>
      </c>
      <c r="I132" s="106">
        <f>$F$132</f>
        <v>1</v>
      </c>
      <c r="J132" s="118"/>
    </row>
    <row r="133" spans="1:11" ht="15" customHeight="1">
      <c r="A133" s="203" t="s">
        <v>120</v>
      </c>
      <c r="B133" s="210">
        <f>1-B132</f>
        <v>0</v>
      </c>
      <c r="C133" s="106">
        <f t="shared" ref="C133:I133" si="71">1-C132</f>
        <v>0</v>
      </c>
      <c r="D133" s="106">
        <f t="shared" si="71"/>
        <v>0</v>
      </c>
      <c r="E133" s="106">
        <f t="shared" si="71"/>
        <v>0</v>
      </c>
      <c r="F133" s="210">
        <f t="shared" si="71"/>
        <v>0</v>
      </c>
      <c r="G133" s="106">
        <f t="shared" si="71"/>
        <v>0</v>
      </c>
      <c r="H133" s="106">
        <f t="shared" si="71"/>
        <v>0</v>
      </c>
      <c r="I133" s="106">
        <f t="shared" si="71"/>
        <v>0</v>
      </c>
      <c r="J133" s="118"/>
    </row>
    <row r="134" spans="1:11" ht="15" customHeight="1">
      <c r="A134" s="203" t="s">
        <v>121</v>
      </c>
      <c r="B134" s="103">
        <f>Scenarios!C12</f>
        <v>20</v>
      </c>
      <c r="C134" s="103">
        <f>Scenarios!D12</f>
        <v>21</v>
      </c>
      <c r="D134" s="103">
        <f>Scenarios!E12</f>
        <v>22.05</v>
      </c>
      <c r="E134" s="103">
        <f>Scenarios!F12</f>
        <v>23.152500000000003</v>
      </c>
      <c r="F134" s="103">
        <f>Scenarios!G12</f>
        <v>24.310125000000003</v>
      </c>
      <c r="G134" s="103">
        <f>Scenarios!H12</f>
        <v>25.525631250000004</v>
      </c>
      <c r="H134" s="103">
        <f>Scenarios!I12</f>
        <v>26.801912812500007</v>
      </c>
      <c r="I134" s="103">
        <f>Scenarios!J12</f>
        <v>28.142008453125008</v>
      </c>
      <c r="J134" s="118"/>
    </row>
    <row r="135" spans="1:11" ht="15" customHeight="1" thickBot="1">
      <c r="A135" s="203" t="s">
        <v>128</v>
      </c>
      <c r="B135" s="206">
        <f>B134/0.7</f>
        <v>28.571428571428573</v>
      </c>
      <c r="C135" s="206">
        <f t="shared" ref="C135:I135" si="72">C134/0.7</f>
        <v>30.000000000000004</v>
      </c>
      <c r="D135" s="206">
        <f t="shared" si="72"/>
        <v>31.500000000000004</v>
      </c>
      <c r="E135" s="206">
        <f t="shared" si="72"/>
        <v>33.07500000000001</v>
      </c>
      <c r="F135" s="206">
        <f t="shared" si="72"/>
        <v>34.728750000000005</v>
      </c>
      <c r="G135" s="206">
        <f t="shared" si="72"/>
        <v>36.465187500000006</v>
      </c>
      <c r="H135" s="206">
        <f t="shared" si="72"/>
        <v>38.288446875000012</v>
      </c>
      <c r="I135" s="206">
        <f t="shared" si="72"/>
        <v>40.202869218750017</v>
      </c>
      <c r="J135" s="118"/>
    </row>
    <row r="136" spans="1:11" ht="15" customHeight="1" thickBot="1">
      <c r="A136" s="330" t="s">
        <v>225</v>
      </c>
      <c r="B136" s="230" t="s">
        <v>36</v>
      </c>
      <c r="C136" s="230" t="s">
        <v>36</v>
      </c>
      <c r="D136" s="230" t="s">
        <v>36</v>
      </c>
      <c r="E136" s="230" t="s">
        <v>36</v>
      </c>
      <c r="F136" s="230" t="s">
        <v>36</v>
      </c>
      <c r="G136" s="230" t="s">
        <v>36</v>
      </c>
      <c r="H136" s="230" t="s">
        <v>36</v>
      </c>
      <c r="I136" s="230" t="s">
        <v>36</v>
      </c>
      <c r="J136" s="118"/>
    </row>
    <row r="137" spans="1:11" ht="15" customHeight="1">
      <c r="A137" s="203" t="s">
        <v>37</v>
      </c>
      <c r="B137" s="211">
        <f>IF(B136="YES",0.2,0)</f>
        <v>0</v>
      </c>
      <c r="C137" s="211">
        <f t="shared" ref="C137:I137" si="73">IF(C136="YES",0.2,0)</f>
        <v>0</v>
      </c>
      <c r="D137" s="211">
        <f t="shared" si="73"/>
        <v>0</v>
      </c>
      <c r="E137" s="211">
        <f t="shared" si="73"/>
        <v>0</v>
      </c>
      <c r="F137" s="211">
        <f t="shared" si="73"/>
        <v>0</v>
      </c>
      <c r="G137" s="211">
        <f t="shared" si="73"/>
        <v>0</v>
      </c>
      <c r="H137" s="211">
        <f t="shared" si="73"/>
        <v>0</v>
      </c>
      <c r="I137" s="211">
        <f t="shared" si="73"/>
        <v>0</v>
      </c>
      <c r="J137" s="118"/>
    </row>
    <row r="138" spans="1:11" ht="15" customHeight="1">
      <c r="A138" s="203" t="s">
        <v>223</v>
      </c>
      <c r="B138" s="107">
        <f>IF(B137=0.2, B135/100+0.5,B135/100+0.3)</f>
        <v>0.58571428571428574</v>
      </c>
      <c r="C138" s="107">
        <f t="shared" ref="C138:I138" si="74">IF(C137=0.2, C135/100+0.5,C135/100+0.3)</f>
        <v>0.60000000000000009</v>
      </c>
      <c r="D138" s="107">
        <f t="shared" si="74"/>
        <v>0.61499999999999999</v>
      </c>
      <c r="E138" s="107">
        <f t="shared" si="74"/>
        <v>0.63075000000000014</v>
      </c>
      <c r="F138" s="107">
        <f t="shared" si="74"/>
        <v>0.64728750000000002</v>
      </c>
      <c r="G138" s="107">
        <f t="shared" si="74"/>
        <v>0.66465187500000011</v>
      </c>
      <c r="H138" s="107">
        <f t="shared" si="74"/>
        <v>0.6828844687500002</v>
      </c>
      <c r="I138" s="107">
        <f t="shared" si="74"/>
        <v>0.70202869218750008</v>
      </c>
      <c r="J138" s="118"/>
    </row>
    <row r="139" spans="1:11" ht="15" customHeight="1">
      <c r="A139" s="203" t="s">
        <v>222</v>
      </c>
      <c r="B139" s="107">
        <f>IF(B138&gt;1.3, 1.3, B138)</f>
        <v>0.58571428571428574</v>
      </c>
      <c r="C139" s="107">
        <f t="shared" ref="C139:I139" si="75">IF(C138&gt;1.3, 1.3, C138)</f>
        <v>0.60000000000000009</v>
      </c>
      <c r="D139" s="107">
        <f t="shared" si="75"/>
        <v>0.61499999999999999</v>
      </c>
      <c r="E139" s="107">
        <f t="shared" si="75"/>
        <v>0.63075000000000014</v>
      </c>
      <c r="F139" s="107">
        <f t="shared" si="75"/>
        <v>0.64728750000000002</v>
      </c>
      <c r="G139" s="107">
        <f t="shared" si="75"/>
        <v>0.66465187500000011</v>
      </c>
      <c r="H139" s="107">
        <f t="shared" si="75"/>
        <v>0.6828844687500002</v>
      </c>
      <c r="I139" s="107">
        <f t="shared" si="75"/>
        <v>0.70202869218750008</v>
      </c>
      <c r="J139" s="118"/>
    </row>
    <row r="140" spans="1:11" ht="15" customHeight="1">
      <c r="A140" s="203" t="s">
        <v>122</v>
      </c>
      <c r="B140" s="103">
        <f>Scenarios!C13</f>
        <v>40</v>
      </c>
      <c r="C140" s="103">
        <f>Scenarios!D13</f>
        <v>42</v>
      </c>
      <c r="D140" s="103">
        <f>Scenarios!E13</f>
        <v>44.1</v>
      </c>
      <c r="E140" s="103">
        <f>Scenarios!F13</f>
        <v>46.305000000000007</v>
      </c>
      <c r="F140" s="103">
        <f>Scenarios!G13</f>
        <v>48.620250000000006</v>
      </c>
      <c r="G140" s="103">
        <f>Scenarios!H13</f>
        <v>51.051262500000007</v>
      </c>
      <c r="H140" s="103">
        <f>Scenarios!I13</f>
        <v>53.603825625000013</v>
      </c>
      <c r="I140" s="103">
        <f>Scenarios!J13</f>
        <v>56.284016906250017</v>
      </c>
      <c r="J140" s="118"/>
    </row>
    <row r="141" spans="1:11" ht="15" customHeight="1" thickBot="1">
      <c r="A141" s="203" t="s">
        <v>127</v>
      </c>
      <c r="B141" s="206">
        <f>B140/0.7</f>
        <v>57.142857142857146</v>
      </c>
      <c r="C141" s="206">
        <f t="shared" ref="C141:I141" si="76">C140/0.7</f>
        <v>60.000000000000007</v>
      </c>
      <c r="D141" s="206">
        <f t="shared" si="76"/>
        <v>63.000000000000007</v>
      </c>
      <c r="E141" s="206">
        <f t="shared" si="76"/>
        <v>66.15000000000002</v>
      </c>
      <c r="F141" s="206">
        <f t="shared" si="76"/>
        <v>69.45750000000001</v>
      </c>
      <c r="G141" s="206">
        <f t="shared" si="76"/>
        <v>72.930375000000012</v>
      </c>
      <c r="H141" s="206">
        <f t="shared" si="76"/>
        <v>76.576893750000025</v>
      </c>
      <c r="I141" s="206">
        <f t="shared" si="76"/>
        <v>80.405738437500034</v>
      </c>
      <c r="J141" s="118"/>
    </row>
    <row r="142" spans="1:11" ht="14.25" customHeight="1" thickBot="1">
      <c r="A142" s="330" t="s">
        <v>224</v>
      </c>
      <c r="B142" s="228" t="s">
        <v>39</v>
      </c>
      <c r="C142" s="228" t="s">
        <v>39</v>
      </c>
      <c r="D142" s="228" t="s">
        <v>39</v>
      </c>
      <c r="E142" s="228" t="s">
        <v>39</v>
      </c>
      <c r="F142" s="228" t="s">
        <v>39</v>
      </c>
      <c r="G142" s="228" t="s">
        <v>39</v>
      </c>
      <c r="H142" s="228" t="s">
        <v>39</v>
      </c>
      <c r="I142" s="228" t="s">
        <v>39</v>
      </c>
      <c r="J142" s="118"/>
      <c r="K142" s="128"/>
    </row>
    <row r="143" spans="1:11" ht="15" customHeight="1">
      <c r="A143" s="203" t="s">
        <v>37</v>
      </c>
      <c r="B143" s="164">
        <f>IF(B142="YES",0.2,0)</f>
        <v>0.2</v>
      </c>
      <c r="C143" s="164">
        <f t="shared" ref="C143:I143" si="77">IF(C142="YES",0.2,0)</f>
        <v>0.2</v>
      </c>
      <c r="D143" s="164">
        <f t="shared" si="77"/>
        <v>0.2</v>
      </c>
      <c r="E143" s="164">
        <f t="shared" si="77"/>
        <v>0.2</v>
      </c>
      <c r="F143" s="164">
        <f t="shared" si="77"/>
        <v>0.2</v>
      </c>
      <c r="G143" s="164">
        <f t="shared" si="77"/>
        <v>0.2</v>
      </c>
      <c r="H143" s="164">
        <f t="shared" si="77"/>
        <v>0.2</v>
      </c>
      <c r="I143" s="164">
        <f t="shared" si="77"/>
        <v>0.2</v>
      </c>
      <c r="J143" s="118"/>
      <c r="K143" s="128"/>
    </row>
    <row r="144" spans="1:11" ht="15" customHeight="1">
      <c r="A144" s="203" t="s">
        <v>38</v>
      </c>
      <c r="B144" s="215">
        <f>IF(B143=0.2, B141/100+0.5,B141/100+0.3)</f>
        <v>1.0714285714285716</v>
      </c>
      <c r="C144" s="215">
        <f t="shared" ref="C144:I144" si="78">IF(C143=0.2, C141/100+0.5,C141/100+0.3)</f>
        <v>1.1000000000000001</v>
      </c>
      <c r="D144" s="215">
        <f t="shared" si="78"/>
        <v>1.1300000000000001</v>
      </c>
      <c r="E144" s="215">
        <f t="shared" si="78"/>
        <v>1.1615000000000002</v>
      </c>
      <c r="F144" s="215">
        <f t="shared" si="78"/>
        <v>1.1945749999999999</v>
      </c>
      <c r="G144" s="215">
        <f t="shared" si="78"/>
        <v>1.2293037500000001</v>
      </c>
      <c r="H144" s="215">
        <f t="shared" si="78"/>
        <v>1.2657689375000003</v>
      </c>
      <c r="I144" s="215">
        <f t="shared" si="78"/>
        <v>1.3040573843750003</v>
      </c>
      <c r="J144" s="118"/>
      <c r="K144" s="128"/>
    </row>
    <row r="145" spans="1:12" ht="15" customHeight="1">
      <c r="A145" s="333" t="s">
        <v>126</v>
      </c>
      <c r="B145" s="334">
        <f>IF(B144&gt;1.3, 1.3, B144)</f>
        <v>1.0714285714285716</v>
      </c>
      <c r="C145" s="334">
        <f t="shared" ref="C145:I145" si="79">IF(C144&gt;1.3, 1.3, C144)</f>
        <v>1.1000000000000001</v>
      </c>
      <c r="D145" s="334">
        <f t="shared" si="79"/>
        <v>1.1300000000000001</v>
      </c>
      <c r="E145" s="334">
        <f t="shared" si="79"/>
        <v>1.1615000000000002</v>
      </c>
      <c r="F145" s="334">
        <f t="shared" si="79"/>
        <v>1.1945749999999999</v>
      </c>
      <c r="G145" s="334">
        <f t="shared" si="79"/>
        <v>1.2293037500000001</v>
      </c>
      <c r="H145" s="334">
        <f t="shared" si="79"/>
        <v>1.2657689375000003</v>
      </c>
      <c r="I145" s="334">
        <f t="shared" si="79"/>
        <v>1.3</v>
      </c>
      <c r="J145" s="118"/>
      <c r="K145" s="128"/>
    </row>
    <row r="146" spans="1:12" ht="15" customHeight="1">
      <c r="A146" s="326" t="s">
        <v>40</v>
      </c>
      <c r="B146" s="327" t="s">
        <v>292</v>
      </c>
      <c r="C146" s="327" t="s">
        <v>293</v>
      </c>
      <c r="D146" s="327" t="s">
        <v>294</v>
      </c>
      <c r="E146" s="327" t="s">
        <v>295</v>
      </c>
      <c r="F146" s="327" t="s">
        <v>296</v>
      </c>
      <c r="G146" s="327" t="s">
        <v>297</v>
      </c>
      <c r="H146" s="327" t="s">
        <v>298</v>
      </c>
      <c r="I146" s="328" t="s">
        <v>299</v>
      </c>
      <c r="J146" s="118"/>
      <c r="K146" s="128"/>
    </row>
    <row r="147" spans="1:12" ht="15" customHeight="1">
      <c r="A147" s="317" t="s">
        <v>41</v>
      </c>
      <c r="B147" s="166">
        <f>((B92*B119)+(B93*B121))/B128</f>
        <v>4913.6987606108751</v>
      </c>
      <c r="C147" s="166">
        <f t="shared" ref="C147:I147" si="80">((C92*C119)+(C93*C121))/C128</f>
        <v>9655.4853075776591</v>
      </c>
      <c r="D147" s="166">
        <f t="shared" si="80"/>
        <v>14347.263825005146</v>
      </c>
      <c r="E147" s="166">
        <f t="shared" si="80"/>
        <v>18975.244862548065</v>
      </c>
      <c r="F147" s="166">
        <f t="shared" si="80"/>
        <v>21116.950873803326</v>
      </c>
      <c r="G147" s="166">
        <f t="shared" si="80"/>
        <v>24251.096552304942</v>
      </c>
      <c r="H147" s="166">
        <f t="shared" si="80"/>
        <v>27065.98808803807</v>
      </c>
      <c r="I147" s="322">
        <f t="shared" si="80"/>
        <v>29738.546445070486</v>
      </c>
      <c r="J147" s="118"/>
      <c r="K147" s="128"/>
    </row>
    <row r="148" spans="1:12" ht="15" customHeight="1">
      <c r="A148" s="318" t="s">
        <v>142</v>
      </c>
      <c r="B148" s="53">
        <f>((B92*B118)+(B93*B120))/B129</f>
        <v>1748.1428282942536</v>
      </c>
      <c r="C148" s="53">
        <f t="shared" ref="C148:I148" si="81">((C92*C118)+(C93*C120))/C129</f>
        <v>3574.3863879013456</v>
      </c>
      <c r="D148" s="53">
        <f t="shared" si="81"/>
        <v>5528.5249787219345</v>
      </c>
      <c r="E148" s="53">
        <f t="shared" si="81"/>
        <v>7613.5889332505058</v>
      </c>
      <c r="F148" s="53">
        <f t="shared" si="81"/>
        <v>13410.178672765185</v>
      </c>
      <c r="G148" s="53">
        <f t="shared" si="81"/>
        <v>16046.510520821466</v>
      </c>
      <c r="H148" s="53">
        <f t="shared" si="81"/>
        <v>18666.121207732402</v>
      </c>
      <c r="I148" s="323">
        <f t="shared" si="81"/>
        <v>21382.648002419755</v>
      </c>
      <c r="J148" s="121"/>
      <c r="K148" s="128"/>
    </row>
    <row r="149" spans="1:12" ht="15" customHeight="1">
      <c r="A149" s="318" t="s">
        <v>42</v>
      </c>
      <c r="B149" s="53">
        <f>((B130*B95)/B139)+(B131*B95/B145)</f>
        <v>25959.853255730224</v>
      </c>
      <c r="C149" s="53">
        <f t="shared" ref="C149:I149" si="82">((C130*C95)/C139)+(C131*C95/C145)</f>
        <v>31073.744200936097</v>
      </c>
      <c r="D149" s="53">
        <f t="shared" si="82"/>
        <v>36935.106984026977</v>
      </c>
      <c r="E149" s="53">
        <f t="shared" si="82"/>
        <v>43007.714650329908</v>
      </c>
      <c r="F149" s="53">
        <f t="shared" si="82"/>
        <v>48925.919437492921</v>
      </c>
      <c r="G149" s="53">
        <f t="shared" si="82"/>
        <v>52751.046043034577</v>
      </c>
      <c r="H149" s="53">
        <f t="shared" si="82"/>
        <v>56268.718081655505</v>
      </c>
      <c r="I149" s="323">
        <f t="shared" si="82"/>
        <v>59870.128607375045</v>
      </c>
      <c r="J149" s="118"/>
      <c r="K149" s="180"/>
    </row>
    <row r="150" spans="1:12" ht="15" customHeight="1">
      <c r="A150" s="318" t="s">
        <v>43</v>
      </c>
      <c r="B150" s="53">
        <f>((B96*B123))/B128</f>
        <v>0</v>
      </c>
      <c r="C150" s="53">
        <f t="shared" ref="C150:I150" si="83">((C96*C123))/C128</f>
        <v>0</v>
      </c>
      <c r="D150" s="53">
        <f t="shared" si="83"/>
        <v>68.840978312087429</v>
      </c>
      <c r="E150" s="53">
        <f t="shared" si="83"/>
        <v>83.358422458684586</v>
      </c>
      <c r="F150" s="53">
        <f t="shared" si="83"/>
        <v>96.279587347108532</v>
      </c>
      <c r="G150" s="53">
        <f t="shared" si="83"/>
        <v>108.02743502539444</v>
      </c>
      <c r="H150" s="53">
        <f t="shared" si="83"/>
        <v>118.54014944790144</v>
      </c>
      <c r="I150" s="323">
        <f t="shared" si="83"/>
        <v>128.57526968294263</v>
      </c>
      <c r="J150" s="68"/>
      <c r="K150" s="179"/>
      <c r="L150" s="67"/>
    </row>
    <row r="151" spans="1:12" ht="15" customHeight="1">
      <c r="A151" s="318" t="s">
        <v>143</v>
      </c>
      <c r="B151" s="53">
        <f>((B96*B122))/B129</f>
        <v>0</v>
      </c>
      <c r="C151" s="53">
        <f t="shared" ref="C151:I151" si="84">((C96*C122))/C129</f>
        <v>0</v>
      </c>
      <c r="D151" s="53">
        <f t="shared" si="84"/>
        <v>0</v>
      </c>
      <c r="E151" s="53">
        <f t="shared" si="84"/>
        <v>0</v>
      </c>
      <c r="F151" s="53">
        <f t="shared" si="84"/>
        <v>0</v>
      </c>
      <c r="G151" s="53">
        <f t="shared" si="84"/>
        <v>0</v>
      </c>
      <c r="H151" s="53">
        <f t="shared" si="84"/>
        <v>0</v>
      </c>
      <c r="I151" s="323">
        <f t="shared" si="84"/>
        <v>0</v>
      </c>
      <c r="J151" s="68"/>
      <c r="K151" s="179"/>
      <c r="L151" s="67"/>
    </row>
    <row r="152" spans="1:12" ht="15" customHeight="1">
      <c r="A152" s="318" t="s">
        <v>44</v>
      </c>
      <c r="B152" s="53">
        <f>((B132*B97)/B139)+(B133*B97/B145)</f>
        <v>0</v>
      </c>
      <c r="C152" s="53">
        <f t="shared" ref="C152:I152" si="85">((C132*C97)/C139)+(C133*C97/C145)</f>
        <v>0</v>
      </c>
      <c r="D152" s="53">
        <f t="shared" si="85"/>
        <v>6087.9491186156993</v>
      </c>
      <c r="E152" s="53">
        <f t="shared" si="85"/>
        <v>7484.3341432856396</v>
      </c>
      <c r="F152" s="53">
        <f t="shared" si="85"/>
        <v>8774.1311696700577</v>
      </c>
      <c r="G152" s="53">
        <f t="shared" si="85"/>
        <v>9989.7086610309798</v>
      </c>
      <c r="H152" s="53">
        <f t="shared" si="85"/>
        <v>11120.189758582901</v>
      </c>
      <c r="I152" s="323">
        <f t="shared" si="85"/>
        <v>12232.29930472773</v>
      </c>
      <c r="J152" s="68"/>
      <c r="K152" s="179"/>
      <c r="L152" s="67"/>
    </row>
    <row r="153" spans="1:12" ht="15" customHeight="1">
      <c r="A153" s="318" t="s">
        <v>204</v>
      </c>
      <c r="B153" s="53">
        <f>B147+B150</f>
        <v>4913.6987606108751</v>
      </c>
      <c r="C153" s="53">
        <f t="shared" ref="C153:I155" si="86">C147+C150</f>
        <v>9655.4853075776591</v>
      </c>
      <c r="D153" s="53">
        <f t="shared" si="86"/>
        <v>14416.104803317234</v>
      </c>
      <c r="E153" s="53">
        <f t="shared" si="86"/>
        <v>19058.60328500675</v>
      </c>
      <c r="F153" s="53">
        <f t="shared" si="86"/>
        <v>21213.230461150433</v>
      </c>
      <c r="G153" s="53">
        <f t="shared" si="86"/>
        <v>24359.123987330335</v>
      </c>
      <c r="H153" s="53">
        <f t="shared" si="86"/>
        <v>27184.528237485971</v>
      </c>
      <c r="I153" s="323">
        <f t="shared" si="86"/>
        <v>29867.12171475343</v>
      </c>
      <c r="J153" s="68"/>
      <c r="K153" s="179"/>
      <c r="L153" s="68"/>
    </row>
    <row r="154" spans="1:12" ht="15" customHeight="1">
      <c r="A154" s="318" t="s">
        <v>206</v>
      </c>
      <c r="B154" s="53">
        <f>B148+B151</f>
        <v>1748.1428282942536</v>
      </c>
      <c r="C154" s="53">
        <f t="shared" si="86"/>
        <v>3574.3863879013456</v>
      </c>
      <c r="D154" s="53">
        <f t="shared" si="86"/>
        <v>5528.5249787219345</v>
      </c>
      <c r="E154" s="53">
        <f t="shared" si="86"/>
        <v>7613.5889332505058</v>
      </c>
      <c r="F154" s="53">
        <f t="shared" si="86"/>
        <v>13410.178672765185</v>
      </c>
      <c r="G154" s="53">
        <f t="shared" si="86"/>
        <v>16046.510520821466</v>
      </c>
      <c r="H154" s="53">
        <f t="shared" si="86"/>
        <v>18666.121207732402</v>
      </c>
      <c r="I154" s="323">
        <f t="shared" si="86"/>
        <v>21382.648002419755</v>
      </c>
      <c r="J154" s="68"/>
      <c r="K154" s="128"/>
      <c r="L154" s="68"/>
    </row>
    <row r="155" spans="1:12" ht="15" customHeight="1">
      <c r="A155" s="318" t="s">
        <v>205</v>
      </c>
      <c r="B155" s="53">
        <f>B149+B152</f>
        <v>25959.853255730224</v>
      </c>
      <c r="C155" s="53">
        <f t="shared" si="86"/>
        <v>31073.744200936097</v>
      </c>
      <c r="D155" s="53">
        <f t="shared" si="86"/>
        <v>43023.056102642673</v>
      </c>
      <c r="E155" s="53">
        <f t="shared" si="86"/>
        <v>50492.048793615548</v>
      </c>
      <c r="F155" s="53">
        <f t="shared" si="86"/>
        <v>57700.050607162979</v>
      </c>
      <c r="G155" s="53">
        <f t="shared" si="86"/>
        <v>62740.754704065555</v>
      </c>
      <c r="H155" s="53">
        <f t="shared" si="86"/>
        <v>67388.907840238404</v>
      </c>
      <c r="I155" s="323">
        <f t="shared" si="86"/>
        <v>72102.427912102779</v>
      </c>
      <c r="J155" s="68"/>
      <c r="K155" s="179"/>
      <c r="L155" s="68"/>
    </row>
    <row r="156" spans="1:12" ht="15" customHeight="1">
      <c r="A156" s="318" t="s">
        <v>229</v>
      </c>
      <c r="B156" s="168">
        <f t="shared" ref="B156:I156" si="87">SUM(B153:B155)/(B8+B9)</f>
        <v>1.7006191048147049E-2</v>
      </c>
      <c r="C156" s="168">
        <f t="shared" si="87"/>
        <v>2.2591502567763329E-2</v>
      </c>
      <c r="D156" s="168">
        <f t="shared" si="87"/>
        <v>3.2260167490645045E-2</v>
      </c>
      <c r="E156" s="168">
        <f t="shared" si="87"/>
        <v>3.9605756817589384E-2</v>
      </c>
      <c r="F156" s="168">
        <f t="shared" si="87"/>
        <v>4.7593773530887507E-2</v>
      </c>
      <c r="G156" s="168">
        <f t="shared" si="87"/>
        <v>5.3324562800224962E-2</v>
      </c>
      <c r="H156" s="168">
        <f t="shared" si="87"/>
        <v>5.8714416602294969E-2</v>
      </c>
      <c r="I156" s="324">
        <f t="shared" si="87"/>
        <v>6.3808424311126197E-2</v>
      </c>
      <c r="J156" s="68"/>
      <c r="K156" s="128"/>
      <c r="L156" s="68"/>
    </row>
    <row r="157" spans="1:12" ht="15" customHeight="1">
      <c r="A157" s="319" t="s">
        <v>45</v>
      </c>
      <c r="B157" s="55">
        <f t="shared" ref="B157:I157" si="88">B18/B128</f>
        <v>13606.900094473634</v>
      </c>
      <c r="C157" s="55">
        <f t="shared" si="88"/>
        <v>26737.744893326315</v>
      </c>
      <c r="D157" s="55">
        <f t="shared" si="88"/>
        <v>38349.55171869749</v>
      </c>
      <c r="E157" s="55">
        <f t="shared" si="88"/>
        <v>49016.674226233947</v>
      </c>
      <c r="F157" s="55">
        <f t="shared" si="88"/>
        <v>58566.845251922859</v>
      </c>
      <c r="G157" s="55">
        <f t="shared" si="88"/>
        <v>67259.247201746926</v>
      </c>
      <c r="H157" s="55">
        <f t="shared" si="88"/>
        <v>75066.21317706423</v>
      </c>
      <c r="I157" s="125">
        <f t="shared" si="88"/>
        <v>82478.424942789643</v>
      </c>
      <c r="J157" s="68"/>
      <c r="K157" s="179"/>
      <c r="L157" s="68"/>
    </row>
    <row r="158" spans="1:12" ht="15" customHeight="1">
      <c r="A158" s="319" t="s">
        <v>228</v>
      </c>
      <c r="B158" s="55">
        <f t="shared" ref="B158:I158" si="89">(B19+B21)/((B139+B145)/2)</f>
        <v>60778.122846696147</v>
      </c>
      <c r="C158" s="55">
        <f t="shared" si="89"/>
        <v>74995.770659473681</v>
      </c>
      <c r="D158" s="55">
        <f t="shared" si="89"/>
        <v>86707.340620089861</v>
      </c>
      <c r="E158" s="55">
        <f t="shared" si="89"/>
        <v>97862.151708334713</v>
      </c>
      <c r="F158" s="55">
        <f t="shared" si="89"/>
        <v>107982.3284279199</v>
      </c>
      <c r="G158" s="55">
        <f t="shared" si="89"/>
        <v>117486.37276956798</v>
      </c>
      <c r="H158" s="55">
        <f t="shared" si="89"/>
        <v>126231.76779009012</v>
      </c>
      <c r="I158" s="125">
        <f t="shared" si="89"/>
        <v>135229.66643473841</v>
      </c>
      <c r="J158" s="68"/>
      <c r="K158" s="184"/>
      <c r="L158" s="68"/>
    </row>
    <row r="159" spans="1:12" ht="15" customHeight="1">
      <c r="A159" s="320" t="s">
        <v>144</v>
      </c>
      <c r="B159" s="56">
        <v>2942.7530006208181</v>
      </c>
      <c r="C159" s="56">
        <v>6214.9214183552713</v>
      </c>
      <c r="D159" s="56">
        <v>10625.561413614027</v>
      </c>
      <c r="E159" s="56">
        <v>15422.188286359504</v>
      </c>
      <c r="F159" s="56">
        <v>21638.535191738352</v>
      </c>
      <c r="G159" s="56">
        <v>27766.479055047454</v>
      </c>
      <c r="H159" s="56">
        <v>35174.115178757922</v>
      </c>
      <c r="I159" s="313">
        <v>43588.861173271893</v>
      </c>
      <c r="J159" s="68"/>
      <c r="K159" s="184"/>
      <c r="L159" s="67"/>
    </row>
    <row r="160" spans="1:12" ht="15" customHeight="1">
      <c r="A160" s="320" t="s">
        <v>46</v>
      </c>
      <c r="B160" s="56">
        <v>13872.978431498137</v>
      </c>
      <c r="C160" s="56">
        <v>27250.040065096186</v>
      </c>
      <c r="D160" s="56">
        <v>37672.445011904281</v>
      </c>
      <c r="E160" s="56">
        <v>46266.564859078513</v>
      </c>
      <c r="F160" s="56">
        <v>52550.728322793148</v>
      </c>
      <c r="G160" s="56">
        <v>59499.5979751017</v>
      </c>
      <c r="H160" s="56">
        <v>64230.992935123162</v>
      </c>
      <c r="I160" s="313">
        <v>65383.291759907828</v>
      </c>
      <c r="J160" s="68"/>
      <c r="K160" s="184"/>
      <c r="L160" s="67"/>
    </row>
    <row r="161" spans="1:12" ht="15" customHeight="1">
      <c r="A161" s="320" t="s">
        <v>47</v>
      </c>
      <c r="B161" s="56">
        <v>61259.290151869347</v>
      </c>
      <c r="C161" s="56">
        <v>75263.168617092844</v>
      </c>
      <c r="D161" s="56">
        <v>89095.473277622048</v>
      </c>
      <c r="E161" s="56">
        <v>101895.99722970306</v>
      </c>
      <c r="F161" s="56">
        <v>116390.81417475773</v>
      </c>
      <c r="G161" s="56">
        <v>131157.96439654613</v>
      </c>
      <c r="H161" s="56">
        <v>146905.85625489202</v>
      </c>
      <c r="I161" s="313">
        <v>161682.84737845772</v>
      </c>
      <c r="J161" s="68"/>
      <c r="K161" s="184"/>
      <c r="L161" s="67"/>
    </row>
    <row r="162" spans="1:12" ht="15" customHeight="1">
      <c r="A162" s="321" t="s">
        <v>48</v>
      </c>
      <c r="B162" s="167">
        <f>SUM(B159:B161)</f>
        <v>78075.021583988302</v>
      </c>
      <c r="C162" s="167">
        <f t="shared" ref="C162:I162" si="90">SUM(C159:C161)</f>
        <v>108728.13010054431</v>
      </c>
      <c r="D162" s="167">
        <f t="shared" si="90"/>
        <v>137393.47970314036</v>
      </c>
      <c r="E162" s="167">
        <f t="shared" si="90"/>
        <v>163584.75037514107</v>
      </c>
      <c r="F162" s="167">
        <f t="shared" si="90"/>
        <v>190580.07768928923</v>
      </c>
      <c r="G162" s="167">
        <f t="shared" si="90"/>
        <v>218424.0414266953</v>
      </c>
      <c r="H162" s="167">
        <f t="shared" si="90"/>
        <v>246310.9643687731</v>
      </c>
      <c r="I162" s="325">
        <f t="shared" si="90"/>
        <v>270655.00031163741</v>
      </c>
      <c r="J162" s="68"/>
      <c r="K162" s="184"/>
      <c r="L162" s="67"/>
    </row>
    <row r="163" spans="1:12" ht="15" customHeight="1">
      <c r="A163" s="314" t="s">
        <v>49</v>
      </c>
      <c r="B163" s="315" t="s">
        <v>292</v>
      </c>
      <c r="C163" s="315" t="s">
        <v>293</v>
      </c>
      <c r="D163" s="315" t="s">
        <v>294</v>
      </c>
      <c r="E163" s="315" t="s">
        <v>295</v>
      </c>
      <c r="F163" s="315" t="s">
        <v>296</v>
      </c>
      <c r="G163" s="315" t="s">
        <v>297</v>
      </c>
      <c r="H163" s="315" t="s">
        <v>298</v>
      </c>
      <c r="I163" s="316" t="s">
        <v>299</v>
      </c>
      <c r="J163" s="68"/>
      <c r="K163" s="179"/>
      <c r="L163" s="67"/>
    </row>
    <row r="164" spans="1:12" ht="15" customHeight="1">
      <c r="A164" s="24" t="s">
        <v>41</v>
      </c>
      <c r="B164" s="25">
        <f>(B111-(B148*B129*1.3))/B128</f>
        <v>3165.1514801232865</v>
      </c>
      <c r="C164" s="25">
        <f t="shared" ref="C164:I164" si="91">(C111-(C148*C129*1.3))/C128</f>
        <v>8423.4461841073116</v>
      </c>
      <c r="D164" s="25">
        <f t="shared" si="91"/>
        <v>15788.417089667371</v>
      </c>
      <c r="E164" s="25">
        <f t="shared" si="91"/>
        <v>25207.845887978456</v>
      </c>
      <c r="F164" s="25">
        <f t="shared" si="91"/>
        <v>28148.207135930272</v>
      </c>
      <c r="G164" s="25">
        <f t="shared" si="91"/>
        <v>32325.921157232788</v>
      </c>
      <c r="H164" s="25">
        <f t="shared" si="91"/>
        <v>36078.079813399709</v>
      </c>
      <c r="I164" s="308">
        <f t="shared" si="91"/>
        <v>39640.512982192733</v>
      </c>
      <c r="J164" s="310"/>
      <c r="K164" s="179"/>
      <c r="L164" s="67"/>
    </row>
    <row r="165" spans="1:12" ht="15" customHeight="1">
      <c r="A165" s="24" t="s">
        <v>42</v>
      </c>
      <c r="B165" s="25">
        <f>(B112*B130)/B138+(B131*B112)/B145</f>
        <v>50203.970372228141</v>
      </c>
      <c r="C165" s="25">
        <f t="shared" ref="C165:I165" si="92">(C112*C130)/C138+(C131*C112)/C145</f>
        <v>66037.10491346466</v>
      </c>
      <c r="D165" s="25">
        <f t="shared" si="92"/>
        <v>77074.59754595354</v>
      </c>
      <c r="E165" s="25">
        <f t="shared" si="92"/>
        <v>88243.949609320407</v>
      </c>
      <c r="F165" s="25">
        <f t="shared" si="92"/>
        <v>96075.76190762344</v>
      </c>
      <c r="G165" s="25">
        <f t="shared" si="92"/>
        <v>103587.15785573746</v>
      </c>
      <c r="H165" s="25">
        <f t="shared" si="92"/>
        <v>110494.80568611549</v>
      </c>
      <c r="I165" s="308">
        <f t="shared" si="92"/>
        <v>117566.8906704906</v>
      </c>
      <c r="J165" s="67"/>
      <c r="K165" s="67"/>
      <c r="L165" s="67"/>
    </row>
    <row r="166" spans="1:12" ht="15" customHeight="1">
      <c r="A166" s="24" t="s">
        <v>43</v>
      </c>
      <c r="B166" s="25">
        <f>(B113-(B151*B129*1.3))/B128</f>
        <v>0</v>
      </c>
      <c r="C166" s="25">
        <f t="shared" ref="C166:I166" si="93">(C113-(C151*C129*1.3))/C128</f>
        <v>0</v>
      </c>
      <c r="D166" s="25">
        <f t="shared" si="93"/>
        <v>245.80690695127331</v>
      </c>
      <c r="E166" s="25">
        <f t="shared" si="93"/>
        <v>297.64359100209174</v>
      </c>
      <c r="F166" s="25">
        <f t="shared" si="93"/>
        <v>343.78052358652019</v>
      </c>
      <c r="G166" s="25">
        <f t="shared" si="93"/>
        <v>385.72795332877195</v>
      </c>
      <c r="H166" s="25">
        <f t="shared" si="93"/>
        <v>423.26515688424138</v>
      </c>
      <c r="I166" s="308">
        <f t="shared" si="93"/>
        <v>459.09703967180042</v>
      </c>
      <c r="J166" s="67"/>
      <c r="K166" s="67"/>
      <c r="L166" s="67"/>
    </row>
    <row r="167" spans="1:12" ht="15" customHeight="1">
      <c r="A167" s="24" t="s">
        <v>44</v>
      </c>
      <c r="B167" s="25">
        <f t="shared" ref="B167:I167" si="94">(B114*B132)/B139+(B114*B133)/B145</f>
        <v>0</v>
      </c>
      <c r="C167" s="25">
        <f t="shared" si="94"/>
        <v>0</v>
      </c>
      <c r="D167" s="25">
        <f t="shared" si="94"/>
        <v>21737.923824085163</v>
      </c>
      <c r="E167" s="25">
        <f t="shared" si="94"/>
        <v>26723.923329657675</v>
      </c>
      <c r="F167" s="25">
        <f t="shared" si="94"/>
        <v>31329.334603931155</v>
      </c>
      <c r="G167" s="25">
        <f t="shared" si="94"/>
        <v>35669.734038065173</v>
      </c>
      <c r="H167" s="25">
        <f t="shared" si="94"/>
        <v>39706.284197134119</v>
      </c>
      <c r="I167" s="308">
        <f t="shared" si="94"/>
        <v>43677.236011467161</v>
      </c>
      <c r="J167" s="67"/>
      <c r="K167" s="68"/>
      <c r="L167" s="67"/>
    </row>
    <row r="168" spans="1:12" ht="15" customHeight="1">
      <c r="A168" s="24" t="s">
        <v>204</v>
      </c>
      <c r="B168" s="25">
        <f>B164+B166</f>
        <v>3165.1514801232865</v>
      </c>
      <c r="C168" s="25">
        <f t="shared" ref="C168:I169" si="95">C164+C166</f>
        <v>8423.4461841073116</v>
      </c>
      <c r="D168" s="25">
        <f t="shared" si="95"/>
        <v>16034.223996618644</v>
      </c>
      <c r="E168" s="25">
        <f t="shared" si="95"/>
        <v>25505.489478980548</v>
      </c>
      <c r="F168" s="25">
        <f t="shared" si="95"/>
        <v>28491.987659516792</v>
      </c>
      <c r="G168" s="25">
        <f t="shared" si="95"/>
        <v>32711.649110561561</v>
      </c>
      <c r="H168" s="25">
        <f t="shared" si="95"/>
        <v>36501.34497028395</v>
      </c>
      <c r="I168" s="308">
        <f t="shared" si="95"/>
        <v>40099.610021864537</v>
      </c>
      <c r="J168" s="67"/>
      <c r="K168" s="68"/>
      <c r="L168" s="67"/>
    </row>
    <row r="169" spans="1:12" ht="15" customHeight="1">
      <c r="A169" s="58" t="s">
        <v>205</v>
      </c>
      <c r="B169" s="59">
        <f>B165+B167</f>
        <v>50203.970372228141</v>
      </c>
      <c r="C169" s="59">
        <f t="shared" si="95"/>
        <v>66037.10491346466</v>
      </c>
      <c r="D169" s="59">
        <f t="shared" si="95"/>
        <v>98812.52137003871</v>
      </c>
      <c r="E169" s="25">
        <f t="shared" si="95"/>
        <v>114967.87293897808</v>
      </c>
      <c r="F169" s="25">
        <f t="shared" si="95"/>
        <v>127405.0965115546</v>
      </c>
      <c r="G169" s="25">
        <f t="shared" si="95"/>
        <v>139256.89189380262</v>
      </c>
      <c r="H169" s="25">
        <f t="shared" si="95"/>
        <v>150201.0898832496</v>
      </c>
      <c r="I169" s="308">
        <f t="shared" si="95"/>
        <v>161244.12668195774</v>
      </c>
      <c r="J169" s="68"/>
      <c r="K169" s="68"/>
      <c r="L169" s="67"/>
    </row>
    <row r="170" spans="1:12" s="118" customFormat="1" ht="15" customHeight="1">
      <c r="A170" s="24" t="s">
        <v>230</v>
      </c>
      <c r="B170" s="175">
        <f t="shared" ref="B170:I170" si="96">(SUM(B168:B169))/B4</f>
        <v>2.0866607788517094E-2</v>
      </c>
      <c r="C170" s="175">
        <f t="shared" si="96"/>
        <v>2.8476948731186724E-2</v>
      </c>
      <c r="D170" s="175">
        <f t="shared" si="96"/>
        <v>4.4129483113795887E-2</v>
      </c>
      <c r="E170" s="175">
        <f t="shared" si="96"/>
        <v>5.4075117162288334E-2</v>
      </c>
      <c r="F170" s="175">
        <f t="shared" si="96"/>
        <v>6.0275014652064064E-2</v>
      </c>
      <c r="G170" s="175">
        <f t="shared" si="96"/>
        <v>6.6678150353740917E-2</v>
      </c>
      <c r="H170" s="175">
        <f t="shared" si="96"/>
        <v>7.2603545992013449E-2</v>
      </c>
      <c r="I170" s="311">
        <f t="shared" si="96"/>
        <v>7.811429486605273E-2</v>
      </c>
      <c r="J170" s="68"/>
      <c r="K170" s="68"/>
      <c r="L170" s="67"/>
    </row>
    <row r="171" spans="1:12" s="118" customFormat="1" ht="15" customHeight="1">
      <c r="A171" s="173" t="s">
        <v>50</v>
      </c>
      <c r="B171" s="174">
        <f>B30/B128</f>
        <v>11849.587103566977</v>
      </c>
      <c r="C171" s="174">
        <f t="shared" ref="C171:I171" si="97">C30/C128</f>
        <v>27238.589635824093</v>
      </c>
      <c r="D171" s="174">
        <f t="shared" si="97"/>
        <v>44739.053552605321</v>
      </c>
      <c r="E171" s="55">
        <f t="shared" si="97"/>
        <v>64432.054573666115</v>
      </c>
      <c r="F171" s="55">
        <f t="shared" si="97"/>
        <v>76985.683526029898</v>
      </c>
      <c r="G171" s="55">
        <f t="shared" si="97"/>
        <v>88411.781392693301</v>
      </c>
      <c r="H171" s="55">
        <f t="shared" si="97"/>
        <v>98673.98024067597</v>
      </c>
      <c r="I171" s="125">
        <f t="shared" si="97"/>
        <v>108417.27760916991</v>
      </c>
      <c r="J171" s="68"/>
      <c r="K171" s="68"/>
      <c r="L171" s="67"/>
    </row>
    <row r="172" spans="1:12" ht="15" customHeight="1">
      <c r="A172" s="54" t="s">
        <v>51</v>
      </c>
      <c r="B172" s="60">
        <f>(B33+B31)/((B139+B145)/2)</f>
        <v>75437.005557096185</v>
      </c>
      <c r="C172" s="60">
        <f t="shared" ref="C172:I172" si="98">(C33+C31)/((C139+C145)/2)</f>
        <v>101624.17022531117</v>
      </c>
      <c r="D172" s="60">
        <f t="shared" si="98"/>
        <v>117980.280136822</v>
      </c>
      <c r="E172" s="60">
        <f t="shared" si="98"/>
        <v>133554.58344535236</v>
      </c>
      <c r="F172" s="60">
        <f t="shared" si="98"/>
        <v>147696.38191268084</v>
      </c>
      <c r="G172" s="60">
        <f t="shared" si="98"/>
        <v>160977.32024568287</v>
      </c>
      <c r="H172" s="60">
        <f t="shared" si="98"/>
        <v>173203.18779969579</v>
      </c>
      <c r="I172" s="122">
        <f t="shared" si="98"/>
        <v>185763.17517397023</v>
      </c>
      <c r="J172" s="68"/>
      <c r="K172" s="67"/>
      <c r="L172" s="67"/>
    </row>
    <row r="173" spans="1:12" ht="15" customHeight="1">
      <c r="A173" s="57" t="s">
        <v>145</v>
      </c>
      <c r="B173" s="57">
        <v>0</v>
      </c>
      <c r="C173" s="57">
        <v>0</v>
      </c>
      <c r="D173" s="57">
        <v>0</v>
      </c>
      <c r="E173" s="57">
        <v>0</v>
      </c>
      <c r="F173" s="57">
        <v>0</v>
      </c>
      <c r="G173" s="57">
        <v>0</v>
      </c>
      <c r="H173" s="57">
        <v>0</v>
      </c>
      <c r="I173" s="312">
        <v>0</v>
      </c>
      <c r="J173" s="67"/>
      <c r="K173" s="67"/>
      <c r="L173" s="67"/>
    </row>
    <row r="174" spans="1:12" ht="15" customHeight="1">
      <c r="A174" s="57" t="s">
        <v>52</v>
      </c>
      <c r="B174" s="56">
        <v>27745.956862996274</v>
      </c>
      <c r="C174" s="56">
        <v>54500.080130192371</v>
      </c>
      <c r="D174" s="56">
        <v>75344.890023808563</v>
      </c>
      <c r="E174" s="56">
        <v>92533.129718157026</v>
      </c>
      <c r="F174" s="56">
        <v>105101.4566455863</v>
      </c>
      <c r="G174" s="56">
        <v>118999.1959502034</v>
      </c>
      <c r="H174" s="56">
        <v>128461.98587024632</v>
      </c>
      <c r="I174" s="313">
        <v>130766.58351981566</v>
      </c>
      <c r="J174" s="67"/>
      <c r="K174" s="67"/>
      <c r="L174" s="67"/>
    </row>
    <row r="175" spans="1:12" ht="15" customHeight="1">
      <c r="A175" s="169" t="s">
        <v>53</v>
      </c>
      <c r="B175" s="56">
        <v>122518.58030373869</v>
      </c>
      <c r="C175" s="56">
        <v>150526.33723418569</v>
      </c>
      <c r="D175" s="56">
        <v>178190.9465552441</v>
      </c>
      <c r="E175" s="56">
        <v>203791.99445940612</v>
      </c>
      <c r="F175" s="56">
        <v>232781.62834951546</v>
      </c>
      <c r="G175" s="56">
        <v>262315.92879309226</v>
      </c>
      <c r="H175" s="56">
        <v>293811.71250978403</v>
      </c>
      <c r="I175" s="313">
        <v>323365.69475691544</v>
      </c>
      <c r="J175" s="118"/>
      <c r="L175" s="67"/>
    </row>
    <row r="176" spans="1:12">
      <c r="A176" s="283" t="s">
        <v>302</v>
      </c>
    </row>
  </sheetData>
  <dataValidations xWindow="354" yWindow="733" count="11">
    <dataValidation type="list" allowBlank="1" showInputMessage="1" showErrorMessage="1" sqref="B142:I142 B136:I136">
      <formula1>"YES,NO"</formula1>
    </dataValidation>
    <dataValidation allowBlank="1" showInputMessage="1" showErrorMessage="1" prompt="Input for this cell can be found on the &quot;Scenarios&quot; tab" sqref="B140:I140 B134:I134 B130:I130 B120:I120 B124:I124"/>
    <dataValidation allowBlank="1" showInputMessage="1" showErrorMessage="1" promptTitle="S177 State Optional Compliance " prompt="See CCR 1962.1 and 1962.2 (d)(5)(E) for details regarding requirements and rules for the S177 States Optional Compliance Path." sqref="A24"/>
    <dataValidation allowBlank="1" showInputMessage="1" showErrorMessage="1" promptTitle=" PZEV, AT PZEV and NEV Credits" prompt="See CCR 1962.2 (g)(6)(A) for more information about the cap related to historical PZEV and AT PZEV credits, as well as historical and new NEV credits." sqref="A50 A53"/>
    <dataValidation allowBlank="1" showInputMessage="1" showErrorMessage="1" promptTitle="GHG-ZEV Over Compliance" prompt="See CCR 1962.2 (g)(6)(C) for more information related to the GHG-ZEV Over Compliance provision, which allows manufacturers to overcomply with GHG fleet standards and have a lessened ZEV requirement for 2018-2021 model years.  " sqref="A35 A38"/>
    <dataValidation allowBlank="1" showInputMessage="1" showErrorMessage="1" promptTitle="ZEV Credit % Requirement" prompt="See CCR 1962.2(b)(1)(A), (b)(2)(E), and (b)(3) for annual credit percentage requirements for large and intermediate volume manufacturers." sqref="A14"/>
    <dataValidation allowBlank="1" showInputMessage="1" showErrorMessage="1" prompt="See &quot;Sales-Mkt Shares Reference&quot; tab for data sources for cells A1-J12." sqref="A2"/>
    <dataValidation allowBlank="1" showInputMessage="1" showErrorMessage="1" promptTitle="IVM ZEV Credits" prompt="IVM (only) MY 2014 ZEV + BEVx credits, found here: http://www.arb.ca.gov/msprog/zevprog/zevcredits/2014zevcredits.htm " sqref="E64"/>
    <dataValidation allowBlank="1" showInputMessage="1" showErrorMessage="1" promptTitle="Travel Provision Accounting" prompt="See CCR 1962.2 (e)(5)(D) for how the travel provision works for FCEVs.  For the purposes of this calculator, FCEVs are assumed to be placed in CA, and to travel to the S177 state for complaince, and credits are taken into account in this final number.  " sqref="A164"/>
    <dataValidation type="list" allowBlank="1" showInputMessage="1" showErrorMessage="1" sqref="G64 D64:D65 G74 D74">
      <formula1>$M$56:$M$61</formula1>
    </dataValidation>
    <dataValidation type="list" allowBlank="1" showInputMessage="1" showErrorMessage="1" sqref="D75">
      <formula1>$M$56:$M$61</formula1>
    </dataValidation>
  </dataValidations>
  <printOptions headings="1"/>
  <pageMargins left="0.25" right="0.25" top="0.5" bottom="0.25" header="0.3" footer="0.3"/>
  <pageSetup scale="86" fitToWidth="2" fitToHeight="4" pageOrder="overThenDown" orientation="landscape" r:id="rId1"/>
  <drawing r:id="rId2"/>
  <tableParts count="21">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9" tint="0.39997558519241921"/>
    <pageSetUpPr fitToPage="1"/>
  </sheetPr>
  <dimension ref="A1:Q177"/>
  <sheetViews>
    <sheetView tabSelected="1" zoomScale="90" zoomScaleNormal="90" workbookViewId="0">
      <pane ySplit="2" topLeftCell="A3" activePane="bottomLeft" state="frozen"/>
      <selection pane="bottomLeft" activeCell="F133" sqref="F133"/>
    </sheetView>
  </sheetViews>
  <sheetFormatPr defaultRowHeight="15"/>
  <cols>
    <col min="1" max="1" width="88.140625" style="118" customWidth="1"/>
    <col min="2" max="8" width="13.5703125" customWidth="1"/>
    <col min="9" max="9" width="13.42578125" customWidth="1"/>
    <col min="10" max="10" width="14" customWidth="1"/>
    <col min="11" max="11" width="17.42578125" style="118" customWidth="1"/>
    <col min="12" max="12" width="17.42578125" customWidth="1"/>
    <col min="13" max="13" width="26" customWidth="1"/>
    <col min="14" max="14" width="24.5703125" customWidth="1"/>
    <col min="15" max="15" width="30.5703125" customWidth="1"/>
  </cols>
  <sheetData>
    <row r="1" spans="1:17" s="118" customFormat="1" ht="135" customHeight="1">
      <c r="A1" s="281"/>
      <c r="B1" s="281"/>
      <c r="C1" s="281"/>
      <c r="D1" s="281"/>
      <c r="E1" s="281"/>
      <c r="F1" s="281"/>
      <c r="G1" s="281"/>
      <c r="H1" s="281"/>
      <c r="I1" s="281"/>
      <c r="J1" s="281"/>
      <c r="K1" s="569" t="s">
        <v>272</v>
      </c>
      <c r="L1" s="570"/>
      <c r="M1" s="570"/>
      <c r="N1" s="571"/>
      <c r="O1" s="572"/>
      <c r="P1" s="572"/>
      <c r="Q1" s="572"/>
    </row>
    <row r="2" spans="1:17" ht="15" customHeight="1" thickBot="1">
      <c r="A2" s="304" t="s">
        <v>189</v>
      </c>
      <c r="B2" s="284" t="s">
        <v>292</v>
      </c>
      <c r="C2" s="284" t="s">
        <v>293</v>
      </c>
      <c r="D2" s="284" t="s">
        <v>294</v>
      </c>
      <c r="E2" s="284" t="s">
        <v>295</v>
      </c>
      <c r="F2" s="284" t="s">
        <v>296</v>
      </c>
      <c r="G2" s="284" t="s">
        <v>297</v>
      </c>
      <c r="H2" s="284" t="s">
        <v>298</v>
      </c>
      <c r="I2" s="284" t="s">
        <v>299</v>
      </c>
      <c r="J2" s="284" t="s">
        <v>306</v>
      </c>
      <c r="L2" s="118"/>
      <c r="M2" s="118"/>
    </row>
    <row r="3" spans="1:17" ht="15" customHeight="1">
      <c r="A3" s="7" t="s">
        <v>77</v>
      </c>
      <c r="B3" s="8">
        <f>'Sales-Mkt Shares Reference'!F6</f>
        <v>15985205.403666668</v>
      </c>
      <c r="C3" s="8">
        <f>'Sales-Mkt Shares Reference'!G6</f>
        <v>16342286.133000001</v>
      </c>
      <c r="D3" s="8">
        <f>'Sales-Mkt Shares Reference'!H6</f>
        <v>16265591.797</v>
      </c>
      <c r="E3" s="8">
        <f>'Sales-Mkt Shares Reference'!I6</f>
        <v>16235905.924666667</v>
      </c>
      <c r="F3" s="8">
        <f>'Sales-Mkt Shares Reference'!J6</f>
        <v>16165185.221333332</v>
      </c>
      <c r="G3" s="8">
        <f>'Sales-Mkt Shares Reference'!K6</f>
        <v>16119274.088666666</v>
      </c>
      <c r="H3" s="8">
        <f>'Sales-Mkt Shares Reference'!L6</f>
        <v>16072083.007666666</v>
      </c>
      <c r="I3" s="8">
        <f>'Sales-Mkt Shares Reference'!M6</f>
        <v>16109706.380333334</v>
      </c>
      <c r="J3" s="451">
        <f>'Sales-Mkt Shares Reference'!N6</f>
        <v>16242619.791666666</v>
      </c>
      <c r="K3" s="294" t="s">
        <v>305</v>
      </c>
      <c r="L3" s="295" t="s">
        <v>0</v>
      </c>
      <c r="M3" s="134" t="s">
        <v>107</v>
      </c>
      <c r="N3" s="134"/>
      <c r="O3" s="266"/>
    </row>
    <row r="4" spans="1:17" ht="15" customHeight="1">
      <c r="A4" s="2" t="s">
        <v>180</v>
      </c>
      <c r="B4" s="8">
        <f>B3*$L$4</f>
        <v>2557632.8645866667</v>
      </c>
      <c r="C4" s="8">
        <f t="shared" ref="C4:J4" si="0">C3*$L$4</f>
        <v>2614765.7812800002</v>
      </c>
      <c r="D4" s="8">
        <f t="shared" si="0"/>
        <v>2602494.6875200002</v>
      </c>
      <c r="E4" s="8">
        <f t="shared" si="0"/>
        <v>2597744.9479466667</v>
      </c>
      <c r="F4" s="8">
        <f t="shared" si="0"/>
        <v>2586429.6354133333</v>
      </c>
      <c r="G4" s="8">
        <f t="shared" si="0"/>
        <v>2579083.8541866667</v>
      </c>
      <c r="H4" s="8">
        <f t="shared" si="0"/>
        <v>2571533.2812266666</v>
      </c>
      <c r="I4" s="8">
        <f t="shared" si="0"/>
        <v>2577553.0208533336</v>
      </c>
      <c r="J4" s="8">
        <f t="shared" si="0"/>
        <v>2598819.1666666665</v>
      </c>
      <c r="K4" s="296" t="s">
        <v>303</v>
      </c>
      <c r="L4" s="298">
        <v>0.16</v>
      </c>
      <c r="M4" s="270" t="s">
        <v>301</v>
      </c>
      <c r="N4" s="270" t="s">
        <v>83</v>
      </c>
      <c r="O4" s="292" t="s">
        <v>104</v>
      </c>
    </row>
    <row r="5" spans="1:17" ht="15" customHeight="1">
      <c r="A5" s="2" t="s">
        <v>181</v>
      </c>
      <c r="B5" s="8">
        <f>B3*$L$5</f>
        <v>1918224.6484400001</v>
      </c>
      <c r="C5" s="8">
        <f t="shared" ref="C5:J5" si="1">C3*$L$5</f>
        <v>1961074.3359600001</v>
      </c>
      <c r="D5" s="8">
        <f t="shared" si="1"/>
        <v>1951871.0156399999</v>
      </c>
      <c r="E5" s="8">
        <f t="shared" si="1"/>
        <v>1948308.7109600001</v>
      </c>
      <c r="F5" s="8">
        <f t="shared" si="1"/>
        <v>1939822.2265599999</v>
      </c>
      <c r="G5" s="8">
        <f t="shared" si="1"/>
        <v>1934312.8906399999</v>
      </c>
      <c r="H5" s="8">
        <f t="shared" si="1"/>
        <v>1928649.9609199998</v>
      </c>
      <c r="I5" s="8">
        <f t="shared" si="1"/>
        <v>1933164.7656400001</v>
      </c>
      <c r="J5" s="8">
        <f t="shared" si="1"/>
        <v>1949114.3749999998</v>
      </c>
      <c r="K5" s="297" t="s">
        <v>304</v>
      </c>
      <c r="L5" s="299">
        <v>0.12</v>
      </c>
      <c r="M5" s="133" t="s">
        <v>103</v>
      </c>
      <c r="N5" s="136">
        <v>5.0395186821820488E-2</v>
      </c>
      <c r="O5" s="267">
        <v>4.9959487512099533E-2</v>
      </c>
    </row>
    <row r="6" spans="1:17" ht="15" customHeight="1">
      <c r="A6" s="5" t="s">
        <v>196</v>
      </c>
      <c r="B6" s="119">
        <f>'Sales-Mkt Shares Reference'!$B$43</f>
        <v>0.9373535351051977</v>
      </c>
      <c r="C6" s="119">
        <f>'Sales-Mkt Shares Reference'!$B$43</f>
        <v>0.9373535351051977</v>
      </c>
      <c r="D6" s="119">
        <f>'Sales-Mkt Shares Reference'!$B$43</f>
        <v>0.9373535351051977</v>
      </c>
      <c r="E6" s="119">
        <f>'Sales-Mkt Shares Reference'!$B$43</f>
        <v>0.9373535351051977</v>
      </c>
      <c r="F6" s="119">
        <f>'Sales-Mkt Shares Reference'!$B$43</f>
        <v>0.9373535351051977</v>
      </c>
      <c r="G6" s="119">
        <f>'Sales-Mkt Shares Reference'!$B$43</f>
        <v>0.9373535351051977</v>
      </c>
      <c r="H6" s="119">
        <f>'Sales-Mkt Shares Reference'!$B$43</f>
        <v>0.9373535351051977</v>
      </c>
      <c r="I6" s="119">
        <f>'Sales-Mkt Shares Reference'!$B$43</f>
        <v>0.9373535351051977</v>
      </c>
      <c r="J6" s="8">
        <f>'Sales-Mkt Shares Reference'!$B$43</f>
        <v>0.9373535351051977</v>
      </c>
      <c r="L6" s="118"/>
      <c r="M6" s="132" t="s">
        <v>90</v>
      </c>
      <c r="N6" s="136">
        <v>9.0645884113901079E-2</v>
      </c>
      <c r="O6" s="267">
        <v>0.13828853959873907</v>
      </c>
    </row>
    <row r="7" spans="1:17" ht="15" customHeight="1">
      <c r="A7" s="5" t="s">
        <v>197</v>
      </c>
      <c r="B7" s="119">
        <f>'Sales-Mkt Shares Reference'!$B$44</f>
        <v>6.2646464894802301E-2</v>
      </c>
      <c r="C7" s="119">
        <f>'Sales-Mkt Shares Reference'!$B$44</f>
        <v>6.2646464894802301E-2</v>
      </c>
      <c r="D7" s="119">
        <f>'Sales-Mkt Shares Reference'!$B$44</f>
        <v>6.2646464894802301E-2</v>
      </c>
      <c r="E7" s="119">
        <f>'Sales-Mkt Shares Reference'!$B$44</f>
        <v>6.2646464894802301E-2</v>
      </c>
      <c r="F7" s="119">
        <f>'Sales-Mkt Shares Reference'!$B$44</f>
        <v>6.2646464894802301E-2</v>
      </c>
      <c r="G7" s="119">
        <f>'Sales-Mkt Shares Reference'!$B$44</f>
        <v>6.2646464894802301E-2</v>
      </c>
      <c r="H7" s="119">
        <f>'Sales-Mkt Shares Reference'!$B$44</f>
        <v>6.2646464894802301E-2</v>
      </c>
      <c r="I7" s="119">
        <f>'Sales-Mkt Shares Reference'!$B$44</f>
        <v>6.2646464894802301E-2</v>
      </c>
      <c r="J7" s="8">
        <f>'Sales-Mkt Shares Reference'!$B$44</f>
        <v>6.2646464894802301E-2</v>
      </c>
      <c r="L7" s="118"/>
      <c r="M7" s="132" t="s">
        <v>91</v>
      </c>
      <c r="N7" s="136">
        <v>0.12462616858641802</v>
      </c>
      <c r="O7" s="267">
        <v>0.13057375277065331</v>
      </c>
    </row>
    <row r="8" spans="1:17" ht="15" customHeight="1">
      <c r="A8" s="5" t="s">
        <v>1</v>
      </c>
      <c r="B8" s="8">
        <f t="shared" ref="B8:J8" si="2">B5*B6</f>
        <v>1798054.6553411591</v>
      </c>
      <c r="C8" s="8">
        <f t="shared" si="2"/>
        <v>1838219.9614161842</v>
      </c>
      <c r="D8" s="8">
        <f t="shared" si="2"/>
        <v>1829593.1965795264</v>
      </c>
      <c r="E8" s="8">
        <f t="shared" si="2"/>
        <v>1826254.0576946069</v>
      </c>
      <c r="F8" s="8">
        <f t="shared" si="2"/>
        <v>1818299.2215416515</v>
      </c>
      <c r="G8" s="8">
        <f t="shared" si="2"/>
        <v>1813135.0260409575</v>
      </c>
      <c r="H8" s="8">
        <f t="shared" si="2"/>
        <v>1807826.858848863</v>
      </c>
      <c r="I8" s="8">
        <f t="shared" si="2"/>
        <v>1812058.8270134651</v>
      </c>
      <c r="J8" s="8">
        <f t="shared" si="2"/>
        <v>1827009.2497306077</v>
      </c>
      <c r="L8" s="118"/>
      <c r="M8" s="132" t="s">
        <v>93</v>
      </c>
      <c r="N8" s="136">
        <v>0.1189602047257894</v>
      </c>
      <c r="O8" s="267">
        <v>0.14577004283875242</v>
      </c>
    </row>
    <row r="9" spans="1:17" ht="15" customHeight="1">
      <c r="A9" s="5" t="s">
        <v>165</v>
      </c>
      <c r="B9" s="8">
        <f t="shared" ref="B9:J9" si="3">B5*B7</f>
        <v>120169.99309884095</v>
      </c>
      <c r="C9" s="8">
        <f t="shared" si="3"/>
        <v>122854.37454381588</v>
      </c>
      <c r="D9" s="8">
        <f t="shared" si="3"/>
        <v>122277.81906047337</v>
      </c>
      <c r="E9" s="8">
        <f t="shared" si="3"/>
        <v>122054.65326539316</v>
      </c>
      <c r="F9" s="8">
        <f t="shared" si="3"/>
        <v>121523.00501834827</v>
      </c>
      <c r="G9" s="8">
        <f t="shared" si="3"/>
        <v>121177.86459904231</v>
      </c>
      <c r="H9" s="8">
        <f t="shared" si="3"/>
        <v>120823.1020711366</v>
      </c>
      <c r="I9" s="8">
        <f t="shared" si="3"/>
        <v>121105.93862653499</v>
      </c>
      <c r="J9" s="8">
        <f t="shared" si="3"/>
        <v>122105.12526939201</v>
      </c>
      <c r="L9" s="118"/>
      <c r="M9" s="132" t="s">
        <v>94</v>
      </c>
      <c r="N9" s="136">
        <v>0.13396532227442101</v>
      </c>
      <c r="O9" s="267">
        <v>0.13765571679503835</v>
      </c>
    </row>
    <row r="10" spans="1:17" ht="15" customHeight="1">
      <c r="A10" s="5" t="s">
        <v>2</v>
      </c>
      <c r="B10" s="119">
        <f>'Sales-Mkt Shares Reference'!$F$43</f>
        <v>0.92410820014987316</v>
      </c>
      <c r="C10" s="119">
        <f>'Sales-Mkt Shares Reference'!$F$43</f>
        <v>0.92410820014987316</v>
      </c>
      <c r="D10" s="119">
        <f>'Sales-Mkt Shares Reference'!$F$43</f>
        <v>0.92410820014987316</v>
      </c>
      <c r="E10" s="119">
        <f>'Sales-Mkt Shares Reference'!$F$43</f>
        <v>0.92410820014987316</v>
      </c>
      <c r="F10" s="119">
        <f>'Sales-Mkt Shares Reference'!$F$43</f>
        <v>0.92410820014987316</v>
      </c>
      <c r="G10" s="119">
        <f>'Sales-Mkt Shares Reference'!$F$43</f>
        <v>0.92410820014987316</v>
      </c>
      <c r="H10" s="119">
        <f>'Sales-Mkt Shares Reference'!$F$43</f>
        <v>0.92410820014987316</v>
      </c>
      <c r="I10" s="119">
        <f>'Sales-Mkt Shares Reference'!$F$43</f>
        <v>0.92410820014987316</v>
      </c>
      <c r="J10" s="119">
        <f>'Sales-Mkt Shares Reference'!$F$43</f>
        <v>0.92410820014987316</v>
      </c>
      <c r="L10" s="118"/>
      <c r="M10" s="132" t="s">
        <v>95</v>
      </c>
      <c r="N10" s="136">
        <v>3.6598371087549125E-2</v>
      </c>
      <c r="O10" s="267">
        <v>4.0522344953484564E-2</v>
      </c>
    </row>
    <row r="11" spans="1:17" ht="15" customHeight="1">
      <c r="A11" s="5" t="s">
        <v>3</v>
      </c>
      <c r="B11" s="119">
        <f>'Sales-Mkt Shares Reference'!$F$44</f>
        <v>7.5891799850126854E-2</v>
      </c>
      <c r="C11" s="119">
        <f>'Sales-Mkt Shares Reference'!$F$44</f>
        <v>7.5891799850126854E-2</v>
      </c>
      <c r="D11" s="119">
        <f>'Sales-Mkt Shares Reference'!$F$44</f>
        <v>7.5891799850126854E-2</v>
      </c>
      <c r="E11" s="119">
        <f>'Sales-Mkt Shares Reference'!$F$44</f>
        <v>7.5891799850126854E-2</v>
      </c>
      <c r="F11" s="119">
        <f>'Sales-Mkt Shares Reference'!$F$44</f>
        <v>7.5891799850126854E-2</v>
      </c>
      <c r="G11" s="119">
        <f>'Sales-Mkt Shares Reference'!$F$44</f>
        <v>7.5891799850126854E-2</v>
      </c>
      <c r="H11" s="119">
        <f>'Sales-Mkt Shares Reference'!$F$44</f>
        <v>7.5891799850126854E-2</v>
      </c>
      <c r="I11" s="119">
        <f>'Sales-Mkt Shares Reference'!$F$44</f>
        <v>7.5891799850126854E-2</v>
      </c>
      <c r="J11" s="119">
        <f>'Sales-Mkt Shares Reference'!$F$44</f>
        <v>7.5891799850126854E-2</v>
      </c>
      <c r="L11" s="118"/>
      <c r="M11" s="132" t="s">
        <v>97</v>
      </c>
      <c r="N11" s="136">
        <v>3.4819598214312325E-2</v>
      </c>
      <c r="O11" s="267">
        <v>3.1793595938368446E-2</v>
      </c>
    </row>
    <row r="12" spans="1:17" ht="15" customHeight="1">
      <c r="A12" s="5" t="s">
        <v>79</v>
      </c>
      <c r="B12" s="8">
        <f t="shared" ref="B12:J12" si="4">B4*B10</f>
        <v>2363529.5031373487</v>
      </c>
      <c r="C12" s="8">
        <f t="shared" si="4"/>
        <v>2416326.4999521379</v>
      </c>
      <c r="D12" s="8">
        <f t="shared" si="4"/>
        <v>2404986.6815837137</v>
      </c>
      <c r="E12" s="8">
        <f t="shared" si="4"/>
        <v>2400597.40829542</v>
      </c>
      <c r="F12" s="8">
        <f t="shared" si="4"/>
        <v>2390140.8351961081</v>
      </c>
      <c r="G12" s="8">
        <f t="shared" si="4"/>
        <v>2383352.5385280387</v>
      </c>
      <c r="H12" s="8">
        <f t="shared" si="4"/>
        <v>2376374.9921398726</v>
      </c>
      <c r="I12" s="8">
        <f t="shared" si="4"/>
        <v>2381937.8828916429</v>
      </c>
      <c r="J12" s="8">
        <f t="shared" si="4"/>
        <v>2401590.1026233262</v>
      </c>
      <c r="K12" s="67"/>
      <c r="L12" s="118"/>
      <c r="M12" s="132" t="s">
        <v>99</v>
      </c>
      <c r="N12" s="136">
        <v>5.040353227095766E-2</v>
      </c>
      <c r="O12" s="267">
        <v>4.531287271981721E-2</v>
      </c>
    </row>
    <row r="13" spans="1:17" ht="15" customHeight="1">
      <c r="A13" s="98" t="s">
        <v>80</v>
      </c>
      <c r="B13" s="8">
        <f t="shared" ref="B13:J13" si="5">B4*B11</f>
        <v>194103.36144931792</v>
      </c>
      <c r="C13" s="8">
        <f t="shared" si="5"/>
        <v>198439.28132786235</v>
      </c>
      <c r="D13" s="8">
        <f t="shared" si="5"/>
        <v>197508.00593628627</v>
      </c>
      <c r="E13" s="8">
        <f t="shared" si="5"/>
        <v>197147.53965124662</v>
      </c>
      <c r="F13" s="8">
        <f t="shared" si="5"/>
        <v>196288.80021722527</v>
      </c>
      <c r="G13" s="8">
        <f t="shared" si="5"/>
        <v>195731.31565862827</v>
      </c>
      <c r="H13" s="8">
        <f t="shared" si="5"/>
        <v>195158.28908679416</v>
      </c>
      <c r="I13" s="8">
        <f t="shared" si="5"/>
        <v>195615.13796169104</v>
      </c>
      <c r="J13" s="452">
        <f t="shared" si="5"/>
        <v>197229.06404334013</v>
      </c>
      <c r="L13" s="118"/>
      <c r="M13" s="132" t="s">
        <v>100</v>
      </c>
      <c r="N13" s="136">
        <v>8.7331548599425005E-2</v>
      </c>
      <c r="O13" s="267">
        <v>9.6005067839524547E-2</v>
      </c>
    </row>
    <row r="14" spans="1:17" ht="15" customHeight="1">
      <c r="A14" s="307" t="s">
        <v>4</v>
      </c>
      <c r="B14" s="300" t="s">
        <v>292</v>
      </c>
      <c r="C14" s="300" t="s">
        <v>293</v>
      </c>
      <c r="D14" s="300" t="s">
        <v>294</v>
      </c>
      <c r="E14" s="300" t="s">
        <v>295</v>
      </c>
      <c r="F14" s="300" t="s">
        <v>296</v>
      </c>
      <c r="G14" s="300" t="s">
        <v>297</v>
      </c>
      <c r="H14" s="300" t="s">
        <v>298</v>
      </c>
      <c r="I14" s="300" t="s">
        <v>299</v>
      </c>
      <c r="J14" s="431" t="s">
        <v>306</v>
      </c>
      <c r="K14" s="432" t="s">
        <v>138</v>
      </c>
      <c r="L14" s="118"/>
      <c r="M14" s="132" t="s">
        <v>101</v>
      </c>
      <c r="N14" s="136">
        <v>0.21377106406264809</v>
      </c>
      <c r="O14" s="267">
        <v>0.13597476068718117</v>
      </c>
    </row>
    <row r="15" spans="1:17" ht="15" customHeight="1">
      <c r="A15" s="99" t="s">
        <v>5</v>
      </c>
      <c r="B15" s="108">
        <v>0.02</v>
      </c>
      <c r="C15" s="101">
        <v>0.04</v>
      </c>
      <c r="D15" s="101">
        <v>0.06</v>
      </c>
      <c r="E15" s="101">
        <v>0.08</v>
      </c>
      <c r="F15" s="101">
        <v>0.1</v>
      </c>
      <c r="G15" s="101">
        <v>0.12</v>
      </c>
      <c r="H15" s="101">
        <v>0.14000000000000001</v>
      </c>
      <c r="I15" s="101">
        <v>0.16</v>
      </c>
      <c r="J15" s="123">
        <v>0.16</v>
      </c>
      <c r="K15" s="454" t="s">
        <v>331</v>
      </c>
      <c r="L15" s="118"/>
      <c r="M15" s="132" t="s">
        <v>102</v>
      </c>
      <c r="N15" s="136">
        <v>5.8483119242757786E-2</v>
      </c>
      <c r="O15" s="267">
        <v>4.8143818346341356E-2</v>
      </c>
    </row>
    <row r="16" spans="1:17" ht="15" customHeight="1">
      <c r="A16" s="10" t="s">
        <v>238</v>
      </c>
      <c r="B16" s="108">
        <v>2.5000000000000001E-2</v>
      </c>
      <c r="C16" s="101">
        <v>0.03</v>
      </c>
      <c r="D16" s="101">
        <v>3.5000000000000003E-2</v>
      </c>
      <c r="E16" s="101">
        <v>0.04</v>
      </c>
      <c r="F16" s="101">
        <v>4.4999999999999998E-2</v>
      </c>
      <c r="G16" s="101">
        <v>0.05</v>
      </c>
      <c r="H16" s="101">
        <v>5.5E-2</v>
      </c>
      <c r="I16" s="101">
        <v>0.06</v>
      </c>
      <c r="J16" s="123">
        <v>0.06</v>
      </c>
      <c r="K16" s="454" t="s">
        <v>331</v>
      </c>
      <c r="L16" s="118"/>
      <c r="M16" s="132" t="s">
        <v>110</v>
      </c>
      <c r="N16" s="137"/>
      <c r="O16" s="268"/>
    </row>
    <row r="17" spans="1:15" ht="15" customHeight="1">
      <c r="A17" s="10" t="s">
        <v>6</v>
      </c>
      <c r="B17" s="108">
        <v>4.4999999999999998E-2</v>
      </c>
      <c r="C17" s="101">
        <v>7.0000000000000007E-2</v>
      </c>
      <c r="D17" s="101">
        <v>9.5000000000000001E-2</v>
      </c>
      <c r="E17" s="101">
        <v>0.12</v>
      </c>
      <c r="F17" s="101">
        <v>0.14500000000000002</v>
      </c>
      <c r="G17" s="101">
        <v>0.16999999999999998</v>
      </c>
      <c r="H17" s="101">
        <v>0.19500000000000001</v>
      </c>
      <c r="I17" s="102">
        <v>0.22</v>
      </c>
      <c r="J17" s="123">
        <v>0.22</v>
      </c>
      <c r="K17" s="454" t="s">
        <v>331</v>
      </c>
      <c r="L17" s="118"/>
      <c r="M17" s="291" t="s">
        <v>301</v>
      </c>
      <c r="N17" s="271" t="s">
        <v>83</v>
      </c>
      <c r="O17" s="293" t="s">
        <v>104</v>
      </c>
    </row>
    <row r="18" spans="1:15" ht="15" customHeight="1">
      <c r="A18" s="10" t="s">
        <v>246</v>
      </c>
      <c r="B18" s="194">
        <f t="shared" ref="B18:J18" si="6">B15*B8</f>
        <v>35961.09310682318</v>
      </c>
      <c r="C18" s="194">
        <f t="shared" si="6"/>
        <v>73528.798456647375</v>
      </c>
      <c r="D18" s="194">
        <f t="shared" si="6"/>
        <v>109775.59179477158</v>
      </c>
      <c r="E18" s="194">
        <f t="shared" si="6"/>
        <v>146100.32461556856</v>
      </c>
      <c r="F18" s="194">
        <f t="shared" si="6"/>
        <v>181829.92215416516</v>
      </c>
      <c r="G18" s="194">
        <f t="shared" si="6"/>
        <v>217576.2031249149</v>
      </c>
      <c r="H18" s="194">
        <f t="shared" si="6"/>
        <v>253095.76023884086</v>
      </c>
      <c r="I18" s="195">
        <f t="shared" si="6"/>
        <v>289929.41232215444</v>
      </c>
      <c r="J18" s="124">
        <f t="shared" si="6"/>
        <v>292321.47995689727</v>
      </c>
      <c r="K18" s="434">
        <f>SUM(B18:I18)</f>
        <v>1307797.105813886</v>
      </c>
      <c r="L18" s="118"/>
      <c r="M18" s="132" t="s">
        <v>92</v>
      </c>
      <c r="N18" s="136">
        <v>0.39710302630288002</v>
      </c>
      <c r="O18" s="267">
        <v>0.5347154985476863</v>
      </c>
    </row>
    <row r="19" spans="1:15" ht="15" customHeight="1">
      <c r="A19" s="11" t="s">
        <v>247</v>
      </c>
      <c r="B19" s="194">
        <f t="shared" ref="B19:J19" si="7">B16*B8</f>
        <v>44951.366383528977</v>
      </c>
      <c r="C19" s="194">
        <f t="shared" si="7"/>
        <v>55146.598842485524</v>
      </c>
      <c r="D19" s="194">
        <f t="shared" si="7"/>
        <v>64035.761880283433</v>
      </c>
      <c r="E19" s="194">
        <f t="shared" si="7"/>
        <v>73050.162307784281</v>
      </c>
      <c r="F19" s="194">
        <f t="shared" si="7"/>
        <v>81823.464969374312</v>
      </c>
      <c r="G19" s="194">
        <f t="shared" si="7"/>
        <v>90656.75130204788</v>
      </c>
      <c r="H19" s="194">
        <f t="shared" si="7"/>
        <v>99430.477236687468</v>
      </c>
      <c r="I19" s="194">
        <f t="shared" si="7"/>
        <v>108723.52962080791</v>
      </c>
      <c r="J19" s="124">
        <f t="shared" si="7"/>
        <v>109620.55498383645</v>
      </c>
      <c r="K19" s="434">
        <f>SUM(B19:I19)</f>
        <v>617818.11254299968</v>
      </c>
      <c r="L19" s="118"/>
      <c r="M19" s="132" t="s">
        <v>96</v>
      </c>
      <c r="N19" s="136">
        <v>0.10267845197427687</v>
      </c>
      <c r="O19" s="267">
        <v>8.0801453113872601E-2</v>
      </c>
    </row>
    <row r="20" spans="1:15" ht="15" customHeight="1">
      <c r="A20" s="11" t="s">
        <v>248</v>
      </c>
      <c r="B20" s="12">
        <f>SUM(B18:B19)</f>
        <v>80912.459490352165</v>
      </c>
      <c r="C20" s="12">
        <f t="shared" ref="C20:J20" si="8">SUM(C18:C19)</f>
        <v>128675.39729913289</v>
      </c>
      <c r="D20" s="12">
        <f t="shared" si="8"/>
        <v>173811.35367505503</v>
      </c>
      <c r="E20" s="12">
        <f t="shared" si="8"/>
        <v>219150.48692335284</v>
      </c>
      <c r="F20" s="12">
        <f t="shared" si="8"/>
        <v>263653.38712353946</v>
      </c>
      <c r="G20" s="12">
        <f t="shared" si="8"/>
        <v>308232.95442696277</v>
      </c>
      <c r="H20" s="12">
        <f t="shared" si="8"/>
        <v>352526.23747552832</v>
      </c>
      <c r="I20" s="12">
        <f t="shared" si="8"/>
        <v>398652.94194296235</v>
      </c>
      <c r="J20" s="125">
        <f t="shared" si="8"/>
        <v>401942.03494073369</v>
      </c>
      <c r="K20" s="434">
        <f>SUM(B20:I20)</f>
        <v>1925615.2183568859</v>
      </c>
      <c r="L20" s="118"/>
      <c r="M20" s="132" t="s">
        <v>98</v>
      </c>
      <c r="N20" s="136">
        <v>0.37980859280929741</v>
      </c>
      <c r="O20" s="267">
        <v>0.27645971529850449</v>
      </c>
    </row>
    <row r="21" spans="1:15" ht="15" customHeight="1">
      <c r="A21" s="11" t="s">
        <v>250</v>
      </c>
      <c r="B21" s="12">
        <f t="shared" ref="B21:J21" si="9">B9*B17</f>
        <v>5407.6496894478423</v>
      </c>
      <c r="C21" s="12">
        <f t="shared" si="9"/>
        <v>8599.8062180671132</v>
      </c>
      <c r="D21" s="12">
        <f t="shared" si="9"/>
        <v>11616.39281074497</v>
      </c>
      <c r="E21" s="12">
        <f t="shared" si="9"/>
        <v>14646.558391847178</v>
      </c>
      <c r="F21" s="12">
        <f t="shared" si="9"/>
        <v>17620.835727660502</v>
      </c>
      <c r="G21" s="12">
        <f t="shared" si="9"/>
        <v>20600.236981837192</v>
      </c>
      <c r="H21" s="12">
        <f t="shared" si="9"/>
        <v>23560.504903871639</v>
      </c>
      <c r="I21" s="12">
        <f t="shared" si="9"/>
        <v>26643.306497837697</v>
      </c>
      <c r="J21" s="125">
        <f t="shared" si="9"/>
        <v>26863.127559266242</v>
      </c>
      <c r="K21" s="434">
        <f>SUM(B21:I21)</f>
        <v>128695.29122131412</v>
      </c>
      <c r="L21" s="118"/>
      <c r="M21" s="132" t="s">
        <v>108</v>
      </c>
      <c r="N21" s="136">
        <v>4.0136642971181892E-2</v>
      </c>
      <c r="O21" s="267">
        <v>3.6007777679978877E-2</v>
      </c>
    </row>
    <row r="22" spans="1:15" ht="15" customHeight="1">
      <c r="A22" s="156" t="s">
        <v>249</v>
      </c>
      <c r="B22" s="157">
        <f>SUM(B20:B21)</f>
        <v>86320.109179800012</v>
      </c>
      <c r="C22" s="157">
        <f t="shared" ref="C22:J22" si="10">SUM(C20:C21)</f>
        <v>137275.20351720002</v>
      </c>
      <c r="D22" s="157">
        <f t="shared" si="10"/>
        <v>185427.74648579999</v>
      </c>
      <c r="E22" s="157">
        <f t="shared" si="10"/>
        <v>233797.04531520003</v>
      </c>
      <c r="F22" s="157">
        <f t="shared" si="10"/>
        <v>281274.22285119997</v>
      </c>
      <c r="G22" s="157">
        <f t="shared" si="10"/>
        <v>328833.19140879996</v>
      </c>
      <c r="H22" s="157">
        <f t="shared" si="10"/>
        <v>376086.74237939995</v>
      </c>
      <c r="I22" s="158">
        <f t="shared" si="10"/>
        <v>425296.24844080006</v>
      </c>
      <c r="J22" s="125">
        <f t="shared" si="10"/>
        <v>428805.16249999992</v>
      </c>
      <c r="K22" s="435">
        <f>SUM(B22:I22)</f>
        <v>2054310.5095781998</v>
      </c>
      <c r="L22" s="118"/>
      <c r="M22" s="132" t="s">
        <v>141</v>
      </c>
      <c r="N22" s="136">
        <v>4.0136642971181892E-2</v>
      </c>
      <c r="O22" s="267">
        <v>3.6007777679978877E-2</v>
      </c>
    </row>
    <row r="23" spans="1:15" s="118" customFormat="1" ht="15.75" thickBot="1">
      <c r="A23" s="428" t="s">
        <v>7</v>
      </c>
      <c r="B23" s="429" t="s">
        <v>292</v>
      </c>
      <c r="C23" s="429" t="s">
        <v>293</v>
      </c>
      <c r="D23" s="429" t="s">
        <v>294</v>
      </c>
      <c r="E23" s="429" t="s">
        <v>295</v>
      </c>
      <c r="F23" s="429" t="s">
        <v>296</v>
      </c>
      <c r="G23" s="429" t="s">
        <v>297</v>
      </c>
      <c r="H23" s="429" t="s">
        <v>298</v>
      </c>
      <c r="I23" s="429" t="s">
        <v>299</v>
      </c>
      <c r="J23" s="430" t="s">
        <v>306</v>
      </c>
      <c r="K23" s="432" t="s">
        <v>138</v>
      </c>
      <c r="M23" s="135" t="s">
        <v>109</v>
      </c>
      <c r="N23" s="138">
        <v>4.0136642971181892E-2</v>
      </c>
      <c r="O23" s="269">
        <v>3.6007777679978877E-2</v>
      </c>
    </row>
    <row r="24" spans="1:15" s="118" customFormat="1">
      <c r="A24" s="419" t="s">
        <v>137</v>
      </c>
      <c r="B24" s="306">
        <v>0.9</v>
      </c>
      <c r="C24" s="36">
        <f>B24</f>
        <v>0.9</v>
      </c>
      <c r="D24" s="36">
        <f>B24</f>
        <v>0.9</v>
      </c>
      <c r="E24" s="453" t="s">
        <v>331</v>
      </c>
      <c r="F24" s="453" t="s">
        <v>331</v>
      </c>
      <c r="G24" s="453" t="s">
        <v>331</v>
      </c>
      <c r="H24" s="453" t="s">
        <v>331</v>
      </c>
      <c r="I24" s="453" t="s">
        <v>331</v>
      </c>
      <c r="J24" s="455" t="s">
        <v>331</v>
      </c>
      <c r="K24" s="454" t="s">
        <v>331</v>
      </c>
    </row>
    <row r="25" spans="1:15" s="118" customFormat="1">
      <c r="A25" s="420" t="s">
        <v>256</v>
      </c>
      <c r="B25" s="13">
        <v>0.625</v>
      </c>
      <c r="C25" s="13">
        <v>0.75</v>
      </c>
      <c r="D25" s="13">
        <v>0.875</v>
      </c>
      <c r="E25" s="453" t="s">
        <v>331</v>
      </c>
      <c r="F25" s="453" t="s">
        <v>331</v>
      </c>
      <c r="G25" s="453" t="s">
        <v>331</v>
      </c>
      <c r="H25" s="453" t="s">
        <v>331</v>
      </c>
      <c r="I25" s="453" t="s">
        <v>331</v>
      </c>
      <c r="J25" s="455" t="s">
        <v>331</v>
      </c>
      <c r="K25" s="454" t="s">
        <v>331</v>
      </c>
    </row>
    <row r="26" spans="1:15" s="118" customFormat="1">
      <c r="A26" s="421" t="s">
        <v>8</v>
      </c>
      <c r="B26" s="193">
        <f>B25*B15</f>
        <v>1.2500000000000001E-2</v>
      </c>
      <c r="C26" s="13">
        <f>C25*C15</f>
        <v>0.03</v>
      </c>
      <c r="D26" s="13">
        <f>D25*D15</f>
        <v>5.2499999999999998E-2</v>
      </c>
      <c r="E26" s="13">
        <f t="shared" ref="E26:J26" si="11">E15</f>
        <v>0.08</v>
      </c>
      <c r="F26" s="13">
        <f t="shared" si="11"/>
        <v>0.1</v>
      </c>
      <c r="G26" s="13">
        <f t="shared" si="11"/>
        <v>0.12</v>
      </c>
      <c r="H26" s="13">
        <f t="shared" si="11"/>
        <v>0.14000000000000001</v>
      </c>
      <c r="I26" s="13">
        <f t="shared" si="11"/>
        <v>0.16</v>
      </c>
      <c r="J26" s="424">
        <f t="shared" si="11"/>
        <v>0.16</v>
      </c>
      <c r="K26" s="454" t="s">
        <v>331</v>
      </c>
    </row>
    <row r="27" spans="1:15" s="118" customFormat="1">
      <c r="A27" s="420" t="s">
        <v>255</v>
      </c>
      <c r="B27" s="13">
        <v>0.9</v>
      </c>
      <c r="C27" s="13">
        <v>1</v>
      </c>
      <c r="D27" s="13">
        <v>1</v>
      </c>
      <c r="E27" s="453" t="s">
        <v>331</v>
      </c>
      <c r="F27" s="453" t="s">
        <v>331</v>
      </c>
      <c r="G27" s="453" t="s">
        <v>331</v>
      </c>
      <c r="H27" s="453" t="s">
        <v>331</v>
      </c>
      <c r="I27" s="453" t="s">
        <v>331</v>
      </c>
      <c r="J27" s="455" t="s">
        <v>331</v>
      </c>
      <c r="K27" s="454" t="s">
        <v>331</v>
      </c>
    </row>
    <row r="28" spans="1:15" s="118" customFormat="1">
      <c r="A28" s="421" t="s">
        <v>239</v>
      </c>
      <c r="B28" s="14">
        <f>B27*B16</f>
        <v>2.2500000000000003E-2</v>
      </c>
      <c r="C28" s="14">
        <f>C27*C16</f>
        <v>0.03</v>
      </c>
      <c r="D28" s="14">
        <f>D27*D16</f>
        <v>3.5000000000000003E-2</v>
      </c>
      <c r="E28" s="14">
        <f t="shared" ref="E28:J28" si="12">E16</f>
        <v>0.04</v>
      </c>
      <c r="F28" s="14">
        <f t="shared" si="12"/>
        <v>4.4999999999999998E-2</v>
      </c>
      <c r="G28" s="14">
        <f t="shared" si="12"/>
        <v>0.05</v>
      </c>
      <c r="H28" s="14">
        <f t="shared" si="12"/>
        <v>5.5E-2</v>
      </c>
      <c r="I28" s="14">
        <f t="shared" si="12"/>
        <v>0.06</v>
      </c>
      <c r="J28" s="425">
        <f t="shared" si="12"/>
        <v>0.06</v>
      </c>
      <c r="K28" s="454" t="s">
        <v>331</v>
      </c>
    </row>
    <row r="29" spans="1:15" s="118" customFormat="1">
      <c r="A29" s="421" t="s">
        <v>9</v>
      </c>
      <c r="B29" s="15">
        <f>B26+B28</f>
        <v>3.5000000000000003E-2</v>
      </c>
      <c r="C29" s="15">
        <f t="shared" ref="C29:J29" si="13">C26+C28</f>
        <v>0.06</v>
      </c>
      <c r="D29" s="15">
        <f t="shared" si="13"/>
        <v>8.7499999999999994E-2</v>
      </c>
      <c r="E29" s="15">
        <f t="shared" si="13"/>
        <v>0.12</v>
      </c>
      <c r="F29" s="15">
        <f t="shared" si="13"/>
        <v>0.14500000000000002</v>
      </c>
      <c r="G29" s="15">
        <f t="shared" si="13"/>
        <v>0.16999999999999998</v>
      </c>
      <c r="H29" s="15">
        <f t="shared" si="13"/>
        <v>0.19500000000000001</v>
      </c>
      <c r="I29" s="15">
        <f t="shared" si="13"/>
        <v>0.22</v>
      </c>
      <c r="J29" s="426">
        <f t="shared" si="13"/>
        <v>0.22</v>
      </c>
      <c r="K29" s="454" t="s">
        <v>331</v>
      </c>
    </row>
    <row r="30" spans="1:15" s="118" customFormat="1">
      <c r="A30" s="343" t="s">
        <v>254</v>
      </c>
      <c r="B30" s="120">
        <f>(B26*B12)*B24+(((1-B24)*B12)*B15)</f>
        <v>31316.765916569871</v>
      </c>
      <c r="C30" s="120">
        <f>(C26*C12)*C24+(((1-C24)*C12)*C15)</f>
        <v>74906.121498516266</v>
      </c>
      <c r="D30" s="120">
        <f>(D26*D12)*D24+(((1-D24)*D12)*D15)</f>
        <v>128065.54079433274</v>
      </c>
      <c r="E30" s="120">
        <f>E26*E12</f>
        <v>192047.79266363359</v>
      </c>
      <c r="F30" s="120">
        <f>F26*F12</f>
        <v>239014.08351961081</v>
      </c>
      <c r="G30" s="120">
        <f>G26*G12</f>
        <v>286002.30462336465</v>
      </c>
      <c r="H30" s="120">
        <f>H26*H12</f>
        <v>332692.49889958219</v>
      </c>
      <c r="I30" s="120">
        <f>I26*I12</f>
        <v>381110.06126266287</v>
      </c>
      <c r="J30" s="125">
        <f t="shared" ref="J30" si="14">J26*J12</f>
        <v>384254.41641973221</v>
      </c>
      <c r="K30" s="434">
        <f>SUM(B30:I30)</f>
        <v>1665155.1691782731</v>
      </c>
    </row>
    <row r="31" spans="1:15" s="118" customFormat="1">
      <c r="A31" s="343" t="s">
        <v>253</v>
      </c>
      <c r="B31" s="120">
        <f>(B28*B12*B24)+(((1-B24)*B12)*B16)</f>
        <v>53770.296196374686</v>
      </c>
      <c r="C31" s="120">
        <f>(C28*C12*C24)+(((1-C24)*C12)*C16)</f>
        <v>72489.794998564132</v>
      </c>
      <c r="D31" s="120">
        <f>(D28*D12*D24)+(((1-D24)*D12)*D16)</f>
        <v>84174.533855429996</v>
      </c>
      <c r="E31" s="120">
        <f>E28*E12</f>
        <v>96023.896331816795</v>
      </c>
      <c r="F31" s="120">
        <f>F28*F12</f>
        <v>107556.33758382486</v>
      </c>
      <c r="G31" s="120">
        <f>G28*G12</f>
        <v>119167.62692640194</v>
      </c>
      <c r="H31" s="120">
        <f>H28*H12</f>
        <v>130700.624567693</v>
      </c>
      <c r="I31" s="120">
        <f>I28*I12</f>
        <v>142916.27297349856</v>
      </c>
      <c r="J31" s="125">
        <f t="shared" ref="J31" si="15">J28*J12</f>
        <v>144095.40615739956</v>
      </c>
      <c r="K31" s="434">
        <f>SUM(B31:I31)</f>
        <v>806799.38343360403</v>
      </c>
    </row>
    <row r="32" spans="1:15" s="118" customFormat="1">
      <c r="A32" s="343" t="s">
        <v>252</v>
      </c>
      <c r="B32" s="120">
        <f>SUM(B30:B31)</f>
        <v>85087.06211294455</v>
      </c>
      <c r="C32" s="120">
        <f t="shared" ref="C32:J32" si="16">SUM(C30:C31)</f>
        <v>147395.91649708041</v>
      </c>
      <c r="D32" s="120">
        <f t="shared" si="16"/>
        <v>212240.07464976274</v>
      </c>
      <c r="E32" s="120">
        <f t="shared" si="16"/>
        <v>288071.68899545039</v>
      </c>
      <c r="F32" s="120">
        <f t="shared" si="16"/>
        <v>346570.42110343568</v>
      </c>
      <c r="G32" s="120">
        <f t="shared" si="16"/>
        <v>405169.93154976657</v>
      </c>
      <c r="H32" s="120">
        <f t="shared" si="16"/>
        <v>463393.12346727517</v>
      </c>
      <c r="I32" s="120">
        <f t="shared" si="16"/>
        <v>524026.33423616143</v>
      </c>
      <c r="J32" s="125">
        <f t="shared" si="16"/>
        <v>528349.8225771318</v>
      </c>
      <c r="K32" s="434">
        <f>SUM(B32:I32)</f>
        <v>2471954.5526118772</v>
      </c>
    </row>
    <row r="33" spans="1:13" s="118" customFormat="1">
      <c r="A33" s="343" t="s">
        <v>251</v>
      </c>
      <c r="B33" s="120">
        <f t="shared" ref="B33:J33" si="17">B13*B17</f>
        <v>8734.6512652193069</v>
      </c>
      <c r="C33" s="120">
        <f t="shared" si="17"/>
        <v>13890.749692950365</v>
      </c>
      <c r="D33" s="120">
        <f t="shared" si="17"/>
        <v>18763.260563947195</v>
      </c>
      <c r="E33" s="120">
        <f t="shared" si="17"/>
        <v>23657.704758149594</v>
      </c>
      <c r="F33" s="120">
        <f t="shared" si="17"/>
        <v>28461.876031497668</v>
      </c>
      <c r="G33" s="120">
        <f t="shared" si="17"/>
        <v>33274.323661966802</v>
      </c>
      <c r="H33" s="120">
        <f t="shared" si="17"/>
        <v>38055.866371924865</v>
      </c>
      <c r="I33" s="120">
        <f t="shared" si="17"/>
        <v>43035.330351572033</v>
      </c>
      <c r="J33" s="125">
        <f t="shared" si="17"/>
        <v>43390.394089534828</v>
      </c>
      <c r="K33" s="434">
        <f>SUM(B33:I33)</f>
        <v>207873.76269722782</v>
      </c>
    </row>
    <row r="34" spans="1:13" s="118" customFormat="1">
      <c r="A34" s="345" t="s">
        <v>257</v>
      </c>
      <c r="B34" s="34">
        <f>SUM(B32:B33)</f>
        <v>93821.713378163855</v>
      </c>
      <c r="C34" s="34">
        <f t="shared" ref="C34:J34" si="18">SUM(C32:C33)</f>
        <v>161286.66619003078</v>
      </c>
      <c r="D34" s="34">
        <f t="shared" si="18"/>
        <v>231003.33521370994</v>
      </c>
      <c r="E34" s="34">
        <f t="shared" si="18"/>
        <v>311729.39375359996</v>
      </c>
      <c r="F34" s="34">
        <f t="shared" si="18"/>
        <v>375032.29713493335</v>
      </c>
      <c r="G34" s="34">
        <f t="shared" si="18"/>
        <v>438444.2552117334</v>
      </c>
      <c r="H34" s="34">
        <f t="shared" si="18"/>
        <v>501448.98983920005</v>
      </c>
      <c r="I34" s="34">
        <f t="shared" si="18"/>
        <v>567061.66458773345</v>
      </c>
      <c r="J34" s="427">
        <f t="shared" si="18"/>
        <v>571740.21666666667</v>
      </c>
      <c r="K34" s="435">
        <f>SUM(B34:I34)</f>
        <v>2679828.3153091045</v>
      </c>
      <c r="L34" s="110"/>
    </row>
    <row r="35" spans="1:13" ht="15" customHeight="1">
      <c r="A35" s="457" t="s">
        <v>311</v>
      </c>
      <c r="B35" s="458" t="s">
        <v>292</v>
      </c>
      <c r="C35" s="458" t="s">
        <v>293</v>
      </c>
      <c r="D35" s="458" t="s">
        <v>294</v>
      </c>
      <c r="E35" s="459" t="s">
        <v>295</v>
      </c>
      <c r="F35" s="118"/>
      <c r="G35" s="118"/>
      <c r="H35" s="118"/>
      <c r="I35" s="118"/>
      <c r="J35" s="118"/>
    </row>
    <row r="36" spans="1:13" ht="15" customHeight="1" thickBot="1">
      <c r="A36" s="416" t="s">
        <v>195</v>
      </c>
      <c r="B36" s="286">
        <v>0.1</v>
      </c>
      <c r="C36" s="395">
        <f>B36</f>
        <v>0.1</v>
      </c>
      <c r="D36" s="396">
        <f>C36</f>
        <v>0.1</v>
      </c>
      <c r="E36" s="417">
        <f>D36</f>
        <v>0.1</v>
      </c>
      <c r="F36" s="118"/>
      <c r="G36" s="118"/>
      <c r="H36" s="118"/>
      <c r="I36" s="118"/>
      <c r="J36" s="118"/>
      <c r="M36" s="6"/>
    </row>
    <row r="37" spans="1:13" ht="15" customHeight="1" thickBot="1">
      <c r="A37" s="416" t="s">
        <v>11</v>
      </c>
      <c r="B37" s="224">
        <v>0</v>
      </c>
      <c r="C37" s="397">
        <f>B37</f>
        <v>0</v>
      </c>
      <c r="D37" s="398">
        <f>B37</f>
        <v>0</v>
      </c>
      <c r="E37" s="418">
        <f>B37</f>
        <v>0</v>
      </c>
      <c r="F37" s="118"/>
      <c r="G37" s="118"/>
      <c r="H37" s="118"/>
      <c r="I37" s="118"/>
      <c r="J37" s="118"/>
    </row>
    <row r="38" spans="1:13" s="118" customFormat="1" ht="15" customHeight="1">
      <c r="A38" s="460" t="s">
        <v>10</v>
      </c>
      <c r="B38" s="461" t="s">
        <v>292</v>
      </c>
      <c r="C38" s="461" t="s">
        <v>293</v>
      </c>
      <c r="D38" s="461" t="s">
        <v>294</v>
      </c>
      <c r="E38" s="462" t="s">
        <v>295</v>
      </c>
    </row>
    <row r="39" spans="1:13" ht="15" customHeight="1">
      <c r="A39" s="407" t="s">
        <v>259</v>
      </c>
      <c r="B39" s="197">
        <v>0.5</v>
      </c>
      <c r="C39" s="17">
        <v>0.5</v>
      </c>
      <c r="D39" s="17">
        <v>0.4</v>
      </c>
      <c r="E39" s="408">
        <v>0.3</v>
      </c>
      <c r="F39" s="118"/>
      <c r="G39" s="118"/>
      <c r="H39" s="118"/>
      <c r="I39" s="118"/>
      <c r="J39" s="118"/>
    </row>
    <row r="40" spans="1:13" ht="15" customHeight="1">
      <c r="A40" s="407" t="s">
        <v>258</v>
      </c>
      <c r="B40" s="18">
        <f>B39*B20*(B36)</f>
        <v>4045.6229745176083</v>
      </c>
      <c r="C40" s="18">
        <f>C39*C20*(C36)</f>
        <v>6433.7698649566446</v>
      </c>
      <c r="D40" s="18">
        <f>D39*D20*(D36)</f>
        <v>6952.4541470022014</v>
      </c>
      <c r="E40" s="409">
        <f>E39*E20*(E36)</f>
        <v>6574.5146077005847</v>
      </c>
      <c r="F40" s="118"/>
      <c r="G40" s="118"/>
      <c r="H40" s="118"/>
      <c r="I40" s="118"/>
      <c r="J40" s="118"/>
    </row>
    <row r="41" spans="1:13" ht="15" customHeight="1">
      <c r="A41" s="407" t="s">
        <v>260</v>
      </c>
      <c r="B41" s="18">
        <f>B39*B18*(B36)</f>
        <v>1798.0546553411591</v>
      </c>
      <c r="C41" s="18">
        <f>C39*C18*(C36)</f>
        <v>3676.4399228323691</v>
      </c>
      <c r="D41" s="18">
        <f>D39*D18*(D36)</f>
        <v>4391.0236717908638</v>
      </c>
      <c r="E41" s="409">
        <f>E39*E18*(E36)</f>
        <v>4383.0097384670571</v>
      </c>
      <c r="F41" s="118"/>
      <c r="G41" s="118"/>
      <c r="H41" s="118"/>
      <c r="I41" s="118"/>
      <c r="J41" s="118"/>
    </row>
    <row r="42" spans="1:13" ht="15" customHeight="1">
      <c r="A42" s="407" t="s">
        <v>261</v>
      </c>
      <c r="B42" s="18">
        <f>B40-B41</f>
        <v>2247.5683191764492</v>
      </c>
      <c r="C42" s="18">
        <f>C40-C41</f>
        <v>2757.3299421242755</v>
      </c>
      <c r="D42" s="18">
        <f>D40-D41</f>
        <v>2561.4304752113376</v>
      </c>
      <c r="E42" s="409">
        <f>E40-E41</f>
        <v>2191.5048692335276</v>
      </c>
      <c r="F42" s="118"/>
      <c r="G42" s="118"/>
      <c r="H42" s="118"/>
      <c r="I42" s="118"/>
      <c r="J42" s="118"/>
    </row>
    <row r="43" spans="1:13" ht="15" customHeight="1">
      <c r="A43" s="413" t="s">
        <v>262</v>
      </c>
      <c r="B43" s="414">
        <f>B21*B39*B37</f>
        <v>0</v>
      </c>
      <c r="C43" s="414">
        <f>C21*C39*C37</f>
        <v>0</v>
      </c>
      <c r="D43" s="414">
        <f>D21*D39*D37</f>
        <v>0</v>
      </c>
      <c r="E43" s="415">
        <f>E21*E39*E37</f>
        <v>0</v>
      </c>
      <c r="F43" s="118"/>
      <c r="G43" s="118"/>
      <c r="H43" s="118"/>
      <c r="I43" s="118"/>
      <c r="J43" s="118"/>
    </row>
    <row r="44" spans="1:13" ht="15" customHeight="1">
      <c r="A44" s="463" t="s">
        <v>12</v>
      </c>
      <c r="B44" s="464" t="s">
        <v>292</v>
      </c>
      <c r="C44" s="464" t="s">
        <v>293</v>
      </c>
      <c r="D44" s="464" t="s">
        <v>294</v>
      </c>
      <c r="E44" s="465" t="s">
        <v>295</v>
      </c>
      <c r="F44" s="118"/>
      <c r="G44" s="118"/>
      <c r="H44" s="118"/>
      <c r="I44" s="118"/>
      <c r="J44" s="118"/>
    </row>
    <row r="45" spans="1:13" ht="15" customHeight="1">
      <c r="A45" s="389" t="s">
        <v>259</v>
      </c>
      <c r="B45" s="19">
        <v>0.5</v>
      </c>
      <c r="C45" s="19">
        <v>0.5</v>
      </c>
      <c r="D45" s="19">
        <v>0.4</v>
      </c>
      <c r="E45" s="391">
        <v>0.3</v>
      </c>
      <c r="F45" s="118"/>
      <c r="G45" s="118"/>
      <c r="H45" s="118"/>
      <c r="I45" s="118"/>
      <c r="J45" s="118"/>
    </row>
    <row r="46" spans="1:13" ht="15" customHeight="1">
      <c r="A46" s="389" t="s">
        <v>258</v>
      </c>
      <c r="B46" s="20">
        <f>B45*B32*(B36)</f>
        <v>4254.3531056472275</v>
      </c>
      <c r="C46" s="20">
        <f>C45*C32*(C36)</f>
        <v>7369.7958248540208</v>
      </c>
      <c r="D46" s="20">
        <f>D45*D32*(D36)</f>
        <v>8489.6029859905102</v>
      </c>
      <c r="E46" s="392">
        <f>E45*E32*(E36)</f>
        <v>8642.1506698635112</v>
      </c>
      <c r="F46" s="118"/>
      <c r="G46" s="118"/>
      <c r="H46" s="118"/>
      <c r="I46" s="118"/>
      <c r="J46" s="118"/>
    </row>
    <row r="47" spans="1:13" ht="15" customHeight="1">
      <c r="A47" s="389" t="s">
        <v>260</v>
      </c>
      <c r="B47" s="20">
        <f>B45*B30*(B36)</f>
        <v>1565.8382958284938</v>
      </c>
      <c r="C47" s="20">
        <f>C45*C30*(C36)</f>
        <v>3745.3060749258134</v>
      </c>
      <c r="D47" s="20">
        <f>D45*D30*(D36)</f>
        <v>5122.6216317733106</v>
      </c>
      <c r="E47" s="392">
        <f>E45*E30*(E36)</f>
        <v>5761.4337799090081</v>
      </c>
      <c r="F47" s="118"/>
      <c r="G47" s="118"/>
      <c r="H47" s="118"/>
      <c r="I47" s="118"/>
      <c r="J47" s="118"/>
    </row>
    <row r="48" spans="1:13" ht="15" customHeight="1">
      <c r="A48" s="389" t="s">
        <v>261</v>
      </c>
      <c r="B48" s="20">
        <f>B46-B47</f>
        <v>2688.5148098187337</v>
      </c>
      <c r="C48" s="20">
        <f>C46-C47</f>
        <v>3624.4897499282074</v>
      </c>
      <c r="D48" s="20">
        <f>D46-D47</f>
        <v>3366.9813542171996</v>
      </c>
      <c r="E48" s="392">
        <f>E46-E47</f>
        <v>2880.7168899545031</v>
      </c>
      <c r="F48" s="118"/>
      <c r="G48" s="118"/>
      <c r="H48" s="118"/>
      <c r="I48" s="118"/>
      <c r="J48" s="118"/>
    </row>
    <row r="49" spans="1:13" ht="15" customHeight="1">
      <c r="A49" s="390" t="s">
        <v>262</v>
      </c>
      <c r="B49" s="155">
        <f>B33*B45*(B37)</f>
        <v>0</v>
      </c>
      <c r="C49" s="155">
        <f>C33*C45*(C37)</f>
        <v>0</v>
      </c>
      <c r="D49" s="155">
        <f>D33*D45*(D37)</f>
        <v>0</v>
      </c>
      <c r="E49" s="393">
        <f>E33*E45*(E37)</f>
        <v>0</v>
      </c>
      <c r="F49" s="118"/>
      <c r="G49" s="118"/>
      <c r="H49" s="118"/>
      <c r="I49" s="118"/>
      <c r="J49" s="118"/>
    </row>
    <row r="50" spans="1:13" ht="15" customHeight="1">
      <c r="A50" s="466" t="s">
        <v>312</v>
      </c>
      <c r="B50" s="458" t="s">
        <v>292</v>
      </c>
      <c r="C50" s="458" t="s">
        <v>293</v>
      </c>
      <c r="D50" s="458" t="s">
        <v>294</v>
      </c>
      <c r="E50" s="458" t="s">
        <v>295</v>
      </c>
      <c r="F50" s="458" t="s">
        <v>296</v>
      </c>
      <c r="G50" s="458" t="s">
        <v>297</v>
      </c>
      <c r="H50" s="458" t="s">
        <v>298</v>
      </c>
      <c r="I50" s="459" t="s">
        <v>299</v>
      </c>
      <c r="J50" s="118"/>
    </row>
    <row r="51" spans="1:13" ht="15" customHeight="1" thickBot="1">
      <c r="A51" s="382" t="s">
        <v>194</v>
      </c>
      <c r="B51" s="287">
        <v>0.5</v>
      </c>
      <c r="C51" s="362">
        <f t="shared" ref="C51:I51" si="19">$B$51</f>
        <v>0.5</v>
      </c>
      <c r="D51" s="363">
        <f t="shared" si="19"/>
        <v>0.5</v>
      </c>
      <c r="E51" s="363">
        <f t="shared" si="19"/>
        <v>0.5</v>
      </c>
      <c r="F51" s="363">
        <f t="shared" si="19"/>
        <v>0.5</v>
      </c>
      <c r="G51" s="363">
        <f t="shared" si="19"/>
        <v>0.5</v>
      </c>
      <c r="H51" s="363">
        <f t="shared" si="19"/>
        <v>0.5</v>
      </c>
      <c r="I51" s="384">
        <f t="shared" si="19"/>
        <v>0.5</v>
      </c>
      <c r="J51" s="118"/>
    </row>
    <row r="52" spans="1:13" ht="15" customHeight="1" thickBot="1">
      <c r="A52" s="383" t="s">
        <v>117</v>
      </c>
      <c r="B52" s="225">
        <v>0.5</v>
      </c>
      <c r="C52" s="364">
        <f t="shared" ref="C52:I52" si="20">$B$52</f>
        <v>0.5</v>
      </c>
      <c r="D52" s="365">
        <f t="shared" si="20"/>
        <v>0.5</v>
      </c>
      <c r="E52" s="365">
        <f t="shared" si="20"/>
        <v>0.5</v>
      </c>
      <c r="F52" s="365">
        <f t="shared" si="20"/>
        <v>0.5</v>
      </c>
      <c r="G52" s="365">
        <f t="shared" si="20"/>
        <v>0.5</v>
      </c>
      <c r="H52" s="365">
        <f t="shared" si="20"/>
        <v>0.5</v>
      </c>
      <c r="I52" s="385">
        <f t="shared" si="20"/>
        <v>0.5</v>
      </c>
      <c r="J52" s="118"/>
    </row>
    <row r="53" spans="1:13" s="118" customFormat="1" ht="15" customHeight="1">
      <c r="A53" s="467" t="s">
        <v>13</v>
      </c>
      <c r="B53" s="468" t="s">
        <v>292</v>
      </c>
      <c r="C53" s="468" t="s">
        <v>293</v>
      </c>
      <c r="D53" s="468" t="s">
        <v>294</v>
      </c>
      <c r="E53" s="468" t="s">
        <v>295</v>
      </c>
      <c r="F53" s="468" t="s">
        <v>296</v>
      </c>
      <c r="G53" s="468" t="s">
        <v>297</v>
      </c>
      <c r="H53" s="468" t="s">
        <v>298</v>
      </c>
      <c r="I53" s="469" t="s">
        <v>299</v>
      </c>
    </row>
    <row r="54" spans="1:13" ht="15" customHeight="1">
      <c r="A54" s="374" t="s">
        <v>263</v>
      </c>
      <c r="B54" s="221">
        <v>0.25</v>
      </c>
      <c r="C54" s="22">
        <v>0.25</v>
      </c>
      <c r="D54" s="22">
        <v>0.25</v>
      </c>
      <c r="E54" s="22">
        <v>0.25</v>
      </c>
      <c r="F54" s="22">
        <v>0.25</v>
      </c>
      <c r="G54" s="22">
        <v>0.25</v>
      </c>
      <c r="H54" s="22">
        <v>0.25</v>
      </c>
      <c r="I54" s="221">
        <v>0.25</v>
      </c>
      <c r="J54" s="118"/>
    </row>
    <row r="55" spans="1:13" ht="15" customHeight="1">
      <c r="A55" s="375" t="s">
        <v>264</v>
      </c>
      <c r="B55" s="222">
        <f>B54*B19*B51</f>
        <v>5618.9207979411221</v>
      </c>
      <c r="C55" s="21">
        <f t="shared" ref="C55:I55" si="21">C54*C19*C51</f>
        <v>6893.3248553106905</v>
      </c>
      <c r="D55" s="21">
        <f t="shared" si="21"/>
        <v>8004.4702350354291</v>
      </c>
      <c r="E55" s="21">
        <f t="shared" si="21"/>
        <v>9131.2702884730352</v>
      </c>
      <c r="F55" s="21">
        <f t="shared" si="21"/>
        <v>10227.933121171789</v>
      </c>
      <c r="G55" s="21">
        <f t="shared" si="21"/>
        <v>11332.093912755985</v>
      </c>
      <c r="H55" s="21">
        <f t="shared" si="21"/>
        <v>12428.809654585933</v>
      </c>
      <c r="I55" s="377">
        <f t="shared" si="21"/>
        <v>13590.441202600989</v>
      </c>
      <c r="J55" s="170"/>
    </row>
    <row r="56" spans="1:13" ht="15" customHeight="1">
      <c r="A56" s="375" t="s">
        <v>265</v>
      </c>
      <c r="B56" s="22">
        <v>1</v>
      </c>
      <c r="C56" s="22">
        <v>1</v>
      </c>
      <c r="D56" s="22">
        <v>0.25</v>
      </c>
      <c r="E56" s="22">
        <v>0.25</v>
      </c>
      <c r="F56" s="22">
        <v>0.25</v>
      </c>
      <c r="G56" s="22">
        <v>0.25</v>
      </c>
      <c r="H56" s="22">
        <v>0.25</v>
      </c>
      <c r="I56" s="221">
        <v>0.25</v>
      </c>
      <c r="J56" s="171"/>
    </row>
    <row r="57" spans="1:13" ht="15" customHeight="1">
      <c r="A57" s="376" t="s">
        <v>266</v>
      </c>
      <c r="B57" s="159">
        <f>B56*B21*B52</f>
        <v>2703.8248447239212</v>
      </c>
      <c r="C57" s="159">
        <f t="shared" ref="C57:I57" si="22">C56*C21*C52</f>
        <v>4299.9031090335566</v>
      </c>
      <c r="D57" s="159">
        <f t="shared" si="22"/>
        <v>1452.0491013431213</v>
      </c>
      <c r="E57" s="159">
        <f t="shared" si="22"/>
        <v>1830.8197989808973</v>
      </c>
      <c r="F57" s="159">
        <f t="shared" si="22"/>
        <v>2202.6044659575628</v>
      </c>
      <c r="G57" s="159">
        <f t="shared" si="22"/>
        <v>2575.029622729649</v>
      </c>
      <c r="H57" s="159">
        <f t="shared" si="22"/>
        <v>2945.0631129839549</v>
      </c>
      <c r="I57" s="378">
        <f t="shared" si="22"/>
        <v>3330.4133122297121</v>
      </c>
      <c r="J57" s="170"/>
    </row>
    <row r="58" spans="1:13" ht="15" customHeight="1">
      <c r="A58" s="371" t="s">
        <v>14</v>
      </c>
      <c r="B58" s="372" t="s">
        <v>292</v>
      </c>
      <c r="C58" s="372" t="s">
        <v>293</v>
      </c>
      <c r="D58" s="372" t="s">
        <v>294</v>
      </c>
      <c r="E58" s="372" t="s">
        <v>295</v>
      </c>
      <c r="F58" s="372" t="s">
        <v>296</v>
      </c>
      <c r="G58" s="372" t="s">
        <v>297</v>
      </c>
      <c r="H58" s="372" t="s">
        <v>298</v>
      </c>
      <c r="I58" s="373" t="s">
        <v>299</v>
      </c>
      <c r="J58" s="171"/>
    </row>
    <row r="59" spans="1:13" ht="15" customHeight="1">
      <c r="A59" s="366" t="s">
        <v>263</v>
      </c>
      <c r="B59" s="160">
        <f t="shared" ref="B59:I59" si="23">B54</f>
        <v>0.25</v>
      </c>
      <c r="C59" s="160">
        <f t="shared" si="23"/>
        <v>0.25</v>
      </c>
      <c r="D59" s="160">
        <f t="shared" si="23"/>
        <v>0.25</v>
      </c>
      <c r="E59" s="160">
        <f t="shared" si="23"/>
        <v>0.25</v>
      </c>
      <c r="F59" s="160">
        <f t="shared" si="23"/>
        <v>0.25</v>
      </c>
      <c r="G59" s="160">
        <f t="shared" si="23"/>
        <v>0.25</v>
      </c>
      <c r="H59" s="160">
        <f t="shared" si="23"/>
        <v>0.25</v>
      </c>
      <c r="I59" s="369">
        <f t="shared" si="23"/>
        <v>0.25</v>
      </c>
      <c r="J59" s="171"/>
    </row>
    <row r="60" spans="1:13" ht="15" customHeight="1">
      <c r="A60" s="367" t="s">
        <v>264</v>
      </c>
      <c r="B60" s="25">
        <f>B59*B31*B51</f>
        <v>6721.2870245468357</v>
      </c>
      <c r="C60" s="25">
        <f t="shared" ref="C60:I60" si="24">C59*C31*C51</f>
        <v>9061.2243748205165</v>
      </c>
      <c r="D60" s="25">
        <f t="shared" si="24"/>
        <v>10521.81673192875</v>
      </c>
      <c r="E60" s="25">
        <f t="shared" si="24"/>
        <v>12002.987041477099</v>
      </c>
      <c r="F60" s="25">
        <f t="shared" si="24"/>
        <v>13444.542197978108</v>
      </c>
      <c r="G60" s="25">
        <f t="shared" si="24"/>
        <v>14895.953365800242</v>
      </c>
      <c r="H60" s="25">
        <f t="shared" si="24"/>
        <v>16337.578070961625</v>
      </c>
      <c r="I60" s="308">
        <f t="shared" si="24"/>
        <v>17864.53412168732</v>
      </c>
      <c r="J60" s="171"/>
    </row>
    <row r="61" spans="1:13" ht="15" customHeight="1">
      <c r="A61" s="367" t="s">
        <v>265</v>
      </c>
      <c r="B61" s="26">
        <f>B56</f>
        <v>1</v>
      </c>
      <c r="C61" s="26">
        <f t="shared" ref="C61:I61" si="25">C56</f>
        <v>1</v>
      </c>
      <c r="D61" s="26">
        <f t="shared" si="25"/>
        <v>0.25</v>
      </c>
      <c r="E61" s="26">
        <f t="shared" si="25"/>
        <v>0.25</v>
      </c>
      <c r="F61" s="26">
        <f t="shared" si="25"/>
        <v>0.25</v>
      </c>
      <c r="G61" s="26">
        <f t="shared" si="25"/>
        <v>0.25</v>
      </c>
      <c r="H61" s="26">
        <f t="shared" si="25"/>
        <v>0.25</v>
      </c>
      <c r="I61" s="370">
        <f t="shared" si="25"/>
        <v>0.25</v>
      </c>
      <c r="J61" s="171"/>
      <c r="L61" s="301">
        <v>0</v>
      </c>
    </row>
    <row r="62" spans="1:13" ht="15" customHeight="1">
      <c r="A62" s="368" t="s">
        <v>266</v>
      </c>
      <c r="B62" s="59">
        <f>B33*B61*B52</f>
        <v>4367.3256326096534</v>
      </c>
      <c r="C62" s="59">
        <f t="shared" ref="C62:I62" si="26">C33*C61*C52</f>
        <v>6945.3748464751825</v>
      </c>
      <c r="D62" s="59">
        <f t="shared" si="26"/>
        <v>2345.4075704933994</v>
      </c>
      <c r="E62" s="59">
        <f t="shared" si="26"/>
        <v>2957.2130947686992</v>
      </c>
      <c r="F62" s="59">
        <f t="shared" si="26"/>
        <v>3557.7345039372085</v>
      </c>
      <c r="G62" s="59">
        <f t="shared" si="26"/>
        <v>4159.2904577458503</v>
      </c>
      <c r="H62" s="25">
        <f t="shared" si="26"/>
        <v>4756.9832964906082</v>
      </c>
      <c r="I62" s="308">
        <f t="shared" si="26"/>
        <v>5379.4162939465041</v>
      </c>
      <c r="J62" s="171"/>
      <c r="L62" s="301">
        <v>0.25</v>
      </c>
    </row>
    <row r="63" spans="1:13" ht="15" customHeight="1" thickBot="1">
      <c r="A63" s="399" t="s">
        <v>309</v>
      </c>
      <c r="B63" s="400" t="s">
        <v>116</v>
      </c>
      <c r="C63" s="400" t="s">
        <v>106</v>
      </c>
      <c r="D63" s="400" t="s">
        <v>114</v>
      </c>
      <c r="E63" s="400" t="s">
        <v>15</v>
      </c>
      <c r="F63" s="400" t="s">
        <v>16</v>
      </c>
      <c r="G63" s="400" t="s">
        <v>115</v>
      </c>
      <c r="H63" s="118"/>
      <c r="I63" s="118"/>
      <c r="J63" s="171"/>
      <c r="L63" s="301">
        <v>0.5</v>
      </c>
    </row>
    <row r="64" spans="1:13" ht="15" customHeight="1" thickBot="1">
      <c r="A64" s="401" t="s">
        <v>267</v>
      </c>
      <c r="B64" s="226">
        <v>662900</v>
      </c>
      <c r="C64" s="402">
        <f>IF(((B64-(J18*D64)-E64)&gt;0), (B64-(J18*D64)-E64), 0)</f>
        <v>11967.040086205467</v>
      </c>
      <c r="D64" s="227">
        <v>2</v>
      </c>
      <c r="E64" s="404">
        <f>B64*0.1</f>
        <v>66290</v>
      </c>
      <c r="F64" s="405">
        <f>IF((E64-(J21*G64)&gt;0), (E64-(J21*G64)), 0)</f>
        <v>12563.744881467515</v>
      </c>
      <c r="G64" s="227">
        <v>2</v>
      </c>
      <c r="H64" s="118"/>
      <c r="I64" s="176"/>
      <c r="J64" s="171"/>
      <c r="L64" s="301">
        <v>0.75</v>
      </c>
      <c r="M64" s="27"/>
    </row>
    <row r="65" spans="1:13" ht="15" customHeight="1">
      <c r="A65" s="401" t="s">
        <v>270</v>
      </c>
      <c r="B65" s="288">
        <v>208000</v>
      </c>
      <c r="C65" s="403">
        <f>IF(((B65-(J19*D65)-E65)&gt;0), (B65-(J19*D65)-E65), 0)</f>
        <v>0</v>
      </c>
      <c r="D65" s="227">
        <v>2</v>
      </c>
      <c r="E65" s="111"/>
      <c r="F65" s="111"/>
      <c r="G65" s="112"/>
      <c r="H65" s="118"/>
      <c r="I65" s="118"/>
      <c r="J65" s="171"/>
      <c r="L65" s="301">
        <v>1</v>
      </c>
      <c r="M65" s="27"/>
    </row>
    <row r="66" spans="1:13" s="118" customFormat="1" ht="15" customHeight="1">
      <c r="A66" s="359" t="s">
        <v>310</v>
      </c>
      <c r="B66" s="360" t="s">
        <v>292</v>
      </c>
      <c r="C66" s="360" t="s">
        <v>293</v>
      </c>
      <c r="D66" s="360" t="s">
        <v>294</v>
      </c>
      <c r="E66" s="360" t="s">
        <v>295</v>
      </c>
      <c r="F66" s="360" t="s">
        <v>296</v>
      </c>
      <c r="G66" s="360" t="s">
        <v>297</v>
      </c>
      <c r="H66" s="360" t="s">
        <v>298</v>
      </c>
      <c r="I66" s="361" t="s">
        <v>299</v>
      </c>
      <c r="J66" s="171"/>
      <c r="L66" s="301">
        <v>2</v>
      </c>
      <c r="M66" s="27"/>
    </row>
    <row r="67" spans="1:13" ht="15" customHeight="1">
      <c r="A67" s="28" t="s">
        <v>17</v>
      </c>
      <c r="B67" s="29">
        <f>C64/K18</f>
        <v>9.1505326269689033E-3</v>
      </c>
      <c r="C67" s="29">
        <f>$B$67</f>
        <v>9.1505326269689033E-3</v>
      </c>
      <c r="D67" s="29">
        <f>$B$67</f>
        <v>9.1505326269689033E-3</v>
      </c>
      <c r="E67" s="29">
        <f>$B$67</f>
        <v>9.1505326269689033E-3</v>
      </c>
      <c r="F67" s="29">
        <f>$B$67</f>
        <v>9.1505326269689033E-3</v>
      </c>
      <c r="G67" s="29">
        <f>$B$67</f>
        <v>9.1505326269689033E-3</v>
      </c>
      <c r="H67" s="29">
        <f>G67</f>
        <v>9.1505326269689033E-3</v>
      </c>
      <c r="I67" s="356">
        <f>H67</f>
        <v>9.1505326269689033E-3</v>
      </c>
      <c r="J67" s="171"/>
    </row>
    <row r="68" spans="1:13" ht="15" customHeight="1">
      <c r="A68" s="28" t="s">
        <v>240</v>
      </c>
      <c r="B68" s="30">
        <f>C65/K19</f>
        <v>0</v>
      </c>
      <c r="C68" s="30">
        <f>$B$68</f>
        <v>0</v>
      </c>
      <c r="D68" s="30">
        <f>$B$68</f>
        <v>0</v>
      </c>
      <c r="E68" s="30">
        <f>$B$68</f>
        <v>0</v>
      </c>
      <c r="F68" s="30">
        <f>$B$68</f>
        <v>0</v>
      </c>
      <c r="G68" s="30">
        <f>$B$68</f>
        <v>0</v>
      </c>
      <c r="H68" s="29">
        <f>G68</f>
        <v>0</v>
      </c>
      <c r="I68" s="356">
        <f>H68</f>
        <v>0</v>
      </c>
      <c r="J68" s="171"/>
    </row>
    <row r="69" spans="1:13" ht="15" customHeight="1">
      <c r="A69" s="28" t="s">
        <v>18</v>
      </c>
      <c r="B69" s="31">
        <f t="shared" ref="B69:I70" si="27">B67*B18</f>
        <v>329.06315577545206</v>
      </c>
      <c r="C69" s="31">
        <f t="shared" si="27"/>
        <v>672.82766929937259</v>
      </c>
      <c r="D69" s="31">
        <f t="shared" si="27"/>
        <v>1004.5051343628771</v>
      </c>
      <c r="E69" s="31">
        <f t="shared" si="27"/>
        <v>1336.8957872055082</v>
      </c>
      <c r="F69" s="31">
        <f t="shared" si="27"/>
        <v>1663.8406352309041</v>
      </c>
      <c r="G69" s="31">
        <f t="shared" si="27"/>
        <v>1990.9381455465473</v>
      </c>
      <c r="H69" s="31">
        <f t="shared" si="27"/>
        <v>2315.9610118130122</v>
      </c>
      <c r="I69" s="357">
        <f t="shared" si="27"/>
        <v>2653.0085469717942</v>
      </c>
      <c r="J69" s="172"/>
    </row>
    <row r="70" spans="1:13" ht="15" customHeight="1">
      <c r="A70" s="28" t="s">
        <v>241</v>
      </c>
      <c r="B70" s="31">
        <f t="shared" si="27"/>
        <v>0</v>
      </c>
      <c r="C70" s="31">
        <f t="shared" si="27"/>
        <v>0</v>
      </c>
      <c r="D70" s="31">
        <f t="shared" si="27"/>
        <v>0</v>
      </c>
      <c r="E70" s="31">
        <f t="shared" si="27"/>
        <v>0</v>
      </c>
      <c r="F70" s="31">
        <f t="shared" si="27"/>
        <v>0</v>
      </c>
      <c r="G70" s="31">
        <f t="shared" si="27"/>
        <v>0</v>
      </c>
      <c r="H70" s="31">
        <f t="shared" si="27"/>
        <v>0</v>
      </c>
      <c r="I70" s="357">
        <f t="shared" si="27"/>
        <v>0</v>
      </c>
      <c r="J70" s="177"/>
    </row>
    <row r="71" spans="1:13" ht="15" customHeight="1">
      <c r="A71" s="28" t="s">
        <v>19</v>
      </c>
      <c r="B71" s="30">
        <f t="shared" ref="B71:I71" si="28">$F$64/$K$21</f>
        <v>9.7623967141594575E-2</v>
      </c>
      <c r="C71" s="30">
        <f t="shared" si="28"/>
        <v>9.7623967141594575E-2</v>
      </c>
      <c r="D71" s="30">
        <f t="shared" si="28"/>
        <v>9.7623967141594575E-2</v>
      </c>
      <c r="E71" s="30">
        <f t="shared" si="28"/>
        <v>9.7623967141594575E-2</v>
      </c>
      <c r="F71" s="30">
        <f t="shared" si="28"/>
        <v>9.7623967141594575E-2</v>
      </c>
      <c r="G71" s="30">
        <f t="shared" si="28"/>
        <v>9.7623967141594575E-2</v>
      </c>
      <c r="H71" s="30">
        <f t="shared" si="28"/>
        <v>9.7623967141594575E-2</v>
      </c>
      <c r="I71" s="358">
        <f t="shared" si="28"/>
        <v>9.7623967141594575E-2</v>
      </c>
      <c r="J71" s="172"/>
    </row>
    <row r="72" spans="1:13" ht="15" customHeight="1">
      <c r="A72" s="348" t="s">
        <v>20</v>
      </c>
      <c r="B72" s="349">
        <f t="shared" ref="B72:I72" si="29">B71*B21</f>
        <v>527.91621559591022</v>
      </c>
      <c r="C72" s="349">
        <f t="shared" si="29"/>
        <v>839.54719965666459</v>
      </c>
      <c r="D72" s="349">
        <f t="shared" si="29"/>
        <v>1134.0383500600224</v>
      </c>
      <c r="E72" s="349">
        <f t="shared" si="29"/>
        <v>1429.8551351831352</v>
      </c>
      <c r="F72" s="349">
        <f t="shared" si="29"/>
        <v>1720.2158880845645</v>
      </c>
      <c r="G72" s="349">
        <f t="shared" si="29"/>
        <v>2011.0768582239355</v>
      </c>
      <c r="H72" s="31">
        <f t="shared" si="29"/>
        <v>2300.0699565749428</v>
      </c>
      <c r="I72" s="357">
        <f t="shared" si="29"/>
        <v>2601.0252780883407</v>
      </c>
      <c r="J72" s="172"/>
    </row>
    <row r="73" spans="1:13" ht="15" customHeight="1" thickBot="1">
      <c r="A73" s="406" t="s">
        <v>308</v>
      </c>
      <c r="B73" s="400" t="s">
        <v>116</v>
      </c>
      <c r="C73" s="400" t="s">
        <v>106</v>
      </c>
      <c r="D73" s="400" t="s">
        <v>114</v>
      </c>
      <c r="E73" s="400" t="s">
        <v>15</v>
      </c>
      <c r="F73" s="400" t="s">
        <v>16</v>
      </c>
      <c r="G73" s="400" t="s">
        <v>115</v>
      </c>
      <c r="H73" s="118"/>
      <c r="I73" s="118"/>
      <c r="J73" s="68"/>
    </row>
    <row r="74" spans="1:13" ht="15" customHeight="1" thickBot="1">
      <c r="A74" s="401" t="s">
        <v>267</v>
      </c>
      <c r="B74" s="226">
        <v>776600</v>
      </c>
      <c r="C74" s="402">
        <f>IF((B74-(J30*D74)-E74)&gt;0, (B74-(I30*D74)-E74), 0)</f>
        <v>0</v>
      </c>
      <c r="D74" s="227">
        <v>2</v>
      </c>
      <c r="E74" s="404">
        <f>B74*0.02</f>
        <v>15532</v>
      </c>
      <c r="F74" s="405">
        <f>IF((E74-(J33/2))&gt;0,(E74-(J33/2)),0)</f>
        <v>0</v>
      </c>
      <c r="G74" s="227">
        <v>2</v>
      </c>
      <c r="H74" s="118"/>
      <c r="I74" s="118"/>
      <c r="J74" s="67"/>
      <c r="M74" s="27"/>
    </row>
    <row r="75" spans="1:13" ht="15" customHeight="1">
      <c r="A75" s="401" t="s">
        <v>270</v>
      </c>
      <c r="B75" s="288">
        <v>45000</v>
      </c>
      <c r="C75" s="403">
        <f>IF((B75-(J31*D75)-E75)&gt;0, (B75-(I31*D75)-E75), 0)</f>
        <v>0</v>
      </c>
      <c r="D75" s="227">
        <v>2</v>
      </c>
      <c r="E75" s="111"/>
      <c r="F75" s="111"/>
      <c r="G75" s="118"/>
      <c r="H75" s="118"/>
      <c r="I75" s="118"/>
      <c r="J75" s="118"/>
      <c r="M75" s="27"/>
    </row>
    <row r="76" spans="1:13" s="118" customFormat="1" ht="15" customHeight="1">
      <c r="A76" s="217" t="s">
        <v>307</v>
      </c>
      <c r="B76" s="289" t="s">
        <v>292</v>
      </c>
      <c r="C76" s="289" t="s">
        <v>293</v>
      </c>
      <c r="D76" s="289" t="s">
        <v>294</v>
      </c>
      <c r="E76" s="289" t="s">
        <v>295</v>
      </c>
      <c r="F76" s="289" t="s">
        <v>296</v>
      </c>
      <c r="G76" s="289" t="s">
        <v>297</v>
      </c>
      <c r="H76" s="289" t="s">
        <v>298</v>
      </c>
      <c r="I76" s="350" t="s">
        <v>299</v>
      </c>
      <c r="M76" s="27"/>
    </row>
    <row r="77" spans="1:13" ht="15" customHeight="1">
      <c r="A77" s="32" t="s">
        <v>17</v>
      </c>
      <c r="B77" s="116">
        <f>C74/K30</f>
        <v>0</v>
      </c>
      <c r="C77" s="117">
        <f>$B$77</f>
        <v>0</v>
      </c>
      <c r="D77" s="117">
        <f t="shared" ref="D77:I77" si="30">$B$77</f>
        <v>0</v>
      </c>
      <c r="E77" s="117">
        <f t="shared" si="30"/>
        <v>0</v>
      </c>
      <c r="F77" s="117">
        <f t="shared" si="30"/>
        <v>0</v>
      </c>
      <c r="G77" s="117">
        <f t="shared" si="30"/>
        <v>0</v>
      </c>
      <c r="H77" s="117">
        <f t="shared" si="30"/>
        <v>0</v>
      </c>
      <c r="I77" s="351">
        <f t="shared" si="30"/>
        <v>0</v>
      </c>
      <c r="J77" s="118"/>
    </row>
    <row r="78" spans="1:13" ht="15" customHeight="1">
      <c r="A78" s="32" t="s">
        <v>240</v>
      </c>
      <c r="B78" s="113">
        <f>C75/K31</f>
        <v>0</v>
      </c>
      <c r="C78" s="114">
        <f>$B$78</f>
        <v>0</v>
      </c>
      <c r="D78" s="114">
        <f t="shared" ref="D78:I78" si="31">$B$78</f>
        <v>0</v>
      </c>
      <c r="E78" s="114">
        <f t="shared" si="31"/>
        <v>0</v>
      </c>
      <c r="F78" s="114">
        <f t="shared" si="31"/>
        <v>0</v>
      </c>
      <c r="G78" s="114">
        <f t="shared" si="31"/>
        <v>0</v>
      </c>
      <c r="H78" s="114">
        <f t="shared" si="31"/>
        <v>0</v>
      </c>
      <c r="I78" s="352">
        <f t="shared" si="31"/>
        <v>0</v>
      </c>
      <c r="J78" s="118"/>
    </row>
    <row r="79" spans="1:13" ht="15" customHeight="1">
      <c r="A79" s="32" t="s">
        <v>18</v>
      </c>
      <c r="B79" s="115">
        <f t="shared" ref="B79:I80" si="32">B77*B30</f>
        <v>0</v>
      </c>
      <c r="C79" s="115">
        <f t="shared" si="32"/>
        <v>0</v>
      </c>
      <c r="D79" s="115">
        <f t="shared" si="32"/>
        <v>0</v>
      </c>
      <c r="E79" s="115">
        <f t="shared" si="32"/>
        <v>0</v>
      </c>
      <c r="F79" s="115">
        <f t="shared" si="32"/>
        <v>0</v>
      </c>
      <c r="G79" s="115">
        <f t="shared" si="32"/>
        <v>0</v>
      </c>
      <c r="H79" s="115">
        <f t="shared" si="32"/>
        <v>0</v>
      </c>
      <c r="I79" s="353">
        <f t="shared" si="32"/>
        <v>0</v>
      </c>
      <c r="J79" s="23"/>
    </row>
    <row r="80" spans="1:13" ht="15" customHeight="1">
      <c r="A80" s="32" t="s">
        <v>241</v>
      </c>
      <c r="B80" s="115">
        <f t="shared" si="32"/>
        <v>0</v>
      </c>
      <c r="C80" s="115">
        <f t="shared" si="32"/>
        <v>0</v>
      </c>
      <c r="D80" s="115">
        <f t="shared" si="32"/>
        <v>0</v>
      </c>
      <c r="E80" s="115">
        <f t="shared" si="32"/>
        <v>0</v>
      </c>
      <c r="F80" s="115">
        <f t="shared" si="32"/>
        <v>0</v>
      </c>
      <c r="G80" s="115">
        <f t="shared" si="32"/>
        <v>0</v>
      </c>
      <c r="H80" s="115">
        <f t="shared" si="32"/>
        <v>0</v>
      </c>
      <c r="I80" s="353">
        <f t="shared" si="32"/>
        <v>0</v>
      </c>
      <c r="J80" s="23"/>
    </row>
    <row r="81" spans="1:13" ht="15" customHeight="1">
      <c r="A81" s="32" t="s">
        <v>19</v>
      </c>
      <c r="B81" s="113">
        <f>F74/K33</f>
        <v>0</v>
      </c>
      <c r="C81" s="113">
        <f>$B$81</f>
        <v>0</v>
      </c>
      <c r="D81" s="113">
        <f t="shared" ref="D81:I81" si="33">$B$81</f>
        <v>0</v>
      </c>
      <c r="E81" s="113">
        <f t="shared" si="33"/>
        <v>0</v>
      </c>
      <c r="F81" s="113">
        <f t="shared" si="33"/>
        <v>0</v>
      </c>
      <c r="G81" s="113">
        <f t="shared" si="33"/>
        <v>0</v>
      </c>
      <c r="H81" s="113">
        <f t="shared" si="33"/>
        <v>0</v>
      </c>
      <c r="I81" s="354">
        <f t="shared" si="33"/>
        <v>0</v>
      </c>
      <c r="J81" s="23"/>
    </row>
    <row r="82" spans="1:13" ht="15" customHeight="1">
      <c r="A82" s="33" t="s">
        <v>20</v>
      </c>
      <c r="B82" s="161">
        <f>B81*B33</f>
        <v>0</v>
      </c>
      <c r="C82" s="161">
        <f t="shared" ref="C82:I82" si="34">C81*C33</f>
        <v>0</v>
      </c>
      <c r="D82" s="161">
        <f t="shared" si="34"/>
        <v>0</v>
      </c>
      <c r="E82" s="161">
        <f t="shared" si="34"/>
        <v>0</v>
      </c>
      <c r="F82" s="161">
        <f t="shared" si="34"/>
        <v>0</v>
      </c>
      <c r="G82" s="161">
        <f t="shared" si="34"/>
        <v>0</v>
      </c>
      <c r="H82" s="161">
        <f t="shared" si="34"/>
        <v>0</v>
      </c>
      <c r="I82" s="355">
        <f t="shared" si="34"/>
        <v>0</v>
      </c>
      <c r="J82" s="23"/>
      <c r="K82" s="23"/>
    </row>
    <row r="83" spans="1:13" ht="15" customHeight="1">
      <c r="A83" s="346" t="s">
        <v>21</v>
      </c>
      <c r="B83" s="347" t="s">
        <v>292</v>
      </c>
      <c r="C83" s="347" t="s">
        <v>293</v>
      </c>
      <c r="D83" s="347" t="s">
        <v>294</v>
      </c>
      <c r="E83" s="347" t="s">
        <v>295</v>
      </c>
      <c r="F83" s="347" t="s">
        <v>296</v>
      </c>
      <c r="G83" s="347" t="s">
        <v>297</v>
      </c>
      <c r="H83" s="347" t="s">
        <v>298</v>
      </c>
      <c r="I83" s="347" t="s">
        <v>299</v>
      </c>
      <c r="J83" s="118"/>
    </row>
    <row r="84" spans="1:13" ht="15" customHeight="1">
      <c r="A84" s="343" t="s">
        <v>22</v>
      </c>
      <c r="B84" s="120">
        <f>B18-B41-B69</f>
        <v>33833.975295706565</v>
      </c>
      <c r="C84" s="120">
        <f t="shared" ref="C84:I84" si="35">C18-C41-C69</f>
        <v>69179.530864515633</v>
      </c>
      <c r="D84" s="120">
        <f t="shared" si="35"/>
        <v>104380.06298861784</v>
      </c>
      <c r="E84" s="120">
        <f t="shared" si="35"/>
        <v>140380.41908989599</v>
      </c>
      <c r="F84" s="120">
        <f t="shared" si="35"/>
        <v>180166.08151893425</v>
      </c>
      <c r="G84" s="120">
        <f t="shared" si="35"/>
        <v>215585.26497936837</v>
      </c>
      <c r="H84" s="120">
        <f t="shared" si="35"/>
        <v>250779.79922702783</v>
      </c>
      <c r="I84" s="120">
        <f t="shared" si="35"/>
        <v>287276.40377518267</v>
      </c>
      <c r="J84" s="118"/>
    </row>
    <row r="85" spans="1:13" ht="15" customHeight="1">
      <c r="A85" s="343" t="s">
        <v>242</v>
      </c>
      <c r="B85" s="120">
        <f>B19-B42-B55-B70</f>
        <v>37084.877266411408</v>
      </c>
      <c r="C85" s="120">
        <f>C19-C42-C55-C70</f>
        <v>45495.944045050557</v>
      </c>
      <c r="D85" s="120">
        <f>D19-D42-D55-D70</f>
        <v>53469.861170036667</v>
      </c>
      <c r="E85" s="120">
        <f>E19-E42-E55-E70</f>
        <v>61727.387150077717</v>
      </c>
      <c r="F85" s="120">
        <f>F19-F55-F70</f>
        <v>71595.531848202518</v>
      </c>
      <c r="G85" s="120">
        <f t="shared" ref="G85:I85" si="36">G19-G55-G70</f>
        <v>79324.657389291897</v>
      </c>
      <c r="H85" s="120">
        <f t="shared" si="36"/>
        <v>87001.667582101538</v>
      </c>
      <c r="I85" s="309">
        <f t="shared" si="36"/>
        <v>95133.088418206928</v>
      </c>
      <c r="J85" s="310"/>
    </row>
    <row r="86" spans="1:13" ht="15" customHeight="1">
      <c r="A86" s="343" t="s">
        <v>268</v>
      </c>
      <c r="B86" s="120">
        <f>SUM(B84:B85)</f>
        <v>70918.852562117972</v>
      </c>
      <c r="C86" s="120">
        <f t="shared" ref="C86:I86" si="37">SUM(C84:C85)</f>
        <v>114675.4749095662</v>
      </c>
      <c r="D86" s="120">
        <f t="shared" si="37"/>
        <v>157849.9241586545</v>
      </c>
      <c r="E86" s="120">
        <f t="shared" si="37"/>
        <v>202107.8062399737</v>
      </c>
      <c r="F86" s="120">
        <f t="shared" si="37"/>
        <v>251761.61336713677</v>
      </c>
      <c r="G86" s="120">
        <f t="shared" si="37"/>
        <v>294909.92236866028</v>
      </c>
      <c r="H86" s="120">
        <f t="shared" si="37"/>
        <v>337781.46680912934</v>
      </c>
      <c r="I86" s="120">
        <f t="shared" si="37"/>
        <v>382409.49219338957</v>
      </c>
      <c r="J86" s="118"/>
    </row>
    <row r="87" spans="1:13" ht="15" customHeight="1" thickBot="1">
      <c r="A87" s="343" t="s">
        <v>269</v>
      </c>
      <c r="B87" s="34">
        <f>IF((B21-B43-B57-B72&gt;0), (B21-B43-B57-B72), 0)</f>
        <v>2175.9086291280109</v>
      </c>
      <c r="C87" s="34">
        <f>IF((C21-C43-C57-C72&gt;0), (C21-C43-C57-C72), 0)</f>
        <v>3460.3559093768918</v>
      </c>
      <c r="D87" s="34">
        <f>IF((D21-D43-D57-D72&gt;0), (D21-D43-D57-D72), 0)</f>
        <v>9030.3053593418263</v>
      </c>
      <c r="E87" s="34">
        <f>IF((E21-E43-E57-E72&gt;0), (E21-E43-E57-E72), 0)</f>
        <v>11385.883457683145</v>
      </c>
      <c r="F87" s="34">
        <f>IF((F21-F57-F72&gt;0), (F21-F57-F72), 0)</f>
        <v>13698.015373618375</v>
      </c>
      <c r="G87" s="34">
        <f>IF((G21-G57-G72&gt;0), (G21-G57-G72), 0)</f>
        <v>16014.130500883606</v>
      </c>
      <c r="H87" s="34">
        <f>IF((H21-H57-H72&gt;0), (H21-H57-H72), 0)</f>
        <v>18315.371834312744</v>
      </c>
      <c r="I87" s="34">
        <f>IF((I21-I57-I72&gt;0), (I21-I57-I72), 0)</f>
        <v>20711.867907519641</v>
      </c>
      <c r="J87" s="118"/>
    </row>
    <row r="88" spans="1:13" ht="15" customHeight="1" thickBot="1">
      <c r="A88" s="344" t="s">
        <v>23</v>
      </c>
      <c r="B88" s="223">
        <v>0.2</v>
      </c>
      <c r="C88" s="35">
        <f t="shared" ref="C88:I88" si="38">$B$88</f>
        <v>0.2</v>
      </c>
      <c r="D88" s="36">
        <f t="shared" si="38"/>
        <v>0.2</v>
      </c>
      <c r="E88" s="36">
        <f t="shared" si="38"/>
        <v>0.2</v>
      </c>
      <c r="F88" s="36">
        <f t="shared" si="38"/>
        <v>0.2</v>
      </c>
      <c r="G88" s="36">
        <f t="shared" si="38"/>
        <v>0.2</v>
      </c>
      <c r="H88" s="36">
        <f t="shared" si="38"/>
        <v>0.2</v>
      </c>
      <c r="I88" s="36">
        <f t="shared" si="38"/>
        <v>0.2</v>
      </c>
      <c r="J88" s="118"/>
      <c r="M88" s="6"/>
    </row>
    <row r="89" spans="1:13" ht="15" customHeight="1" thickBot="1">
      <c r="A89" s="343" t="s">
        <v>231</v>
      </c>
      <c r="B89" s="37">
        <f>1-B88</f>
        <v>0.8</v>
      </c>
      <c r="C89" s="36">
        <f t="shared" ref="C89:I89" si="39">$B$89</f>
        <v>0.8</v>
      </c>
      <c r="D89" s="36">
        <f t="shared" si="39"/>
        <v>0.8</v>
      </c>
      <c r="E89" s="36">
        <f t="shared" si="39"/>
        <v>0.8</v>
      </c>
      <c r="F89" s="36">
        <f t="shared" si="39"/>
        <v>0.8</v>
      </c>
      <c r="G89" s="36">
        <f t="shared" si="39"/>
        <v>0.8</v>
      </c>
      <c r="H89" s="36">
        <f t="shared" si="39"/>
        <v>0.8</v>
      </c>
      <c r="I89" s="36">
        <f t="shared" si="39"/>
        <v>0.8</v>
      </c>
      <c r="J89" s="118"/>
    </row>
    <row r="90" spans="1:13" ht="15" customHeight="1" thickBot="1">
      <c r="A90" s="344" t="s">
        <v>24</v>
      </c>
      <c r="B90" s="223">
        <v>0.5</v>
      </c>
      <c r="C90" s="35">
        <f t="shared" ref="C90:I90" si="40">$B$90</f>
        <v>0.5</v>
      </c>
      <c r="D90" s="36">
        <f t="shared" si="40"/>
        <v>0.5</v>
      </c>
      <c r="E90" s="36">
        <f t="shared" si="40"/>
        <v>0.5</v>
      </c>
      <c r="F90" s="36">
        <f t="shared" si="40"/>
        <v>0.5</v>
      </c>
      <c r="G90" s="36">
        <f t="shared" si="40"/>
        <v>0.5</v>
      </c>
      <c r="H90" s="36">
        <f t="shared" si="40"/>
        <v>0.5</v>
      </c>
      <c r="I90" s="36">
        <f t="shared" si="40"/>
        <v>0.5</v>
      </c>
      <c r="J90" s="118"/>
      <c r="M90" s="6"/>
    </row>
    <row r="91" spans="1:13" ht="15" customHeight="1">
      <c r="A91" s="343" t="s">
        <v>232</v>
      </c>
      <c r="B91" s="38">
        <f>1-B90</f>
        <v>0.5</v>
      </c>
      <c r="C91" s="36">
        <f t="shared" ref="C91:I91" si="41">$B$91</f>
        <v>0.5</v>
      </c>
      <c r="D91" s="36">
        <f t="shared" si="41"/>
        <v>0.5</v>
      </c>
      <c r="E91" s="36">
        <f t="shared" si="41"/>
        <v>0.5</v>
      </c>
      <c r="F91" s="36">
        <f t="shared" si="41"/>
        <v>0.5</v>
      </c>
      <c r="G91" s="36">
        <f t="shared" si="41"/>
        <v>0.5</v>
      </c>
      <c r="H91" s="36">
        <f t="shared" si="41"/>
        <v>0.5</v>
      </c>
      <c r="I91" s="36">
        <f t="shared" si="41"/>
        <v>0.5</v>
      </c>
      <c r="J91" s="118"/>
    </row>
    <row r="92" spans="1:13" ht="15" customHeight="1">
      <c r="A92" s="343" t="s">
        <v>25</v>
      </c>
      <c r="B92" s="39">
        <f>B86*B88</f>
        <v>14183.770512423594</v>
      </c>
      <c r="C92" s="39">
        <f t="shared" ref="C92:I92" si="42">C86*C88</f>
        <v>22935.09498191324</v>
      </c>
      <c r="D92" s="39">
        <f t="shared" si="42"/>
        <v>31569.984831730901</v>
      </c>
      <c r="E92" s="39">
        <f t="shared" si="42"/>
        <v>40421.561247994745</v>
      </c>
      <c r="F92" s="39">
        <f t="shared" si="42"/>
        <v>50352.322673427356</v>
      </c>
      <c r="G92" s="39">
        <f t="shared" si="42"/>
        <v>58981.98447373206</v>
      </c>
      <c r="H92" s="39">
        <f t="shared" si="42"/>
        <v>67556.293361825868</v>
      </c>
      <c r="I92" s="39">
        <f t="shared" si="42"/>
        <v>76481.898438677919</v>
      </c>
      <c r="J92" s="118"/>
    </row>
    <row r="93" spans="1:13" ht="15" customHeight="1">
      <c r="A93" s="343" t="s">
        <v>243</v>
      </c>
      <c r="B93" s="39">
        <f>B89*B84</f>
        <v>27067.180236565255</v>
      </c>
      <c r="C93" s="39">
        <f t="shared" ref="C93:I93" si="43">C89*C84</f>
        <v>55343.624691612509</v>
      </c>
      <c r="D93" s="39">
        <f t="shared" si="43"/>
        <v>83504.050390894277</v>
      </c>
      <c r="E93" s="39">
        <f t="shared" si="43"/>
        <v>112304.3352719168</v>
      </c>
      <c r="F93" s="39">
        <f t="shared" si="43"/>
        <v>144132.86521514741</v>
      </c>
      <c r="G93" s="39">
        <f t="shared" si="43"/>
        <v>172468.21198349469</v>
      </c>
      <c r="H93" s="39">
        <f t="shared" si="43"/>
        <v>200623.83938162227</v>
      </c>
      <c r="I93" s="39">
        <f t="shared" si="43"/>
        <v>229821.12302014616</v>
      </c>
      <c r="J93" s="118"/>
    </row>
    <row r="94" spans="1:13" ht="15" customHeight="1">
      <c r="A94" s="343" t="s">
        <v>26</v>
      </c>
      <c r="B94" s="39">
        <f>SUM(B92:B93)</f>
        <v>41250.950748988849</v>
      </c>
      <c r="C94" s="39">
        <f t="shared" ref="C94:I94" si="44">SUM(C92:C93)</f>
        <v>78278.719673525746</v>
      </c>
      <c r="D94" s="39">
        <f t="shared" si="44"/>
        <v>115074.03522262519</v>
      </c>
      <c r="E94" s="39">
        <f t="shared" si="44"/>
        <v>152725.89651991153</v>
      </c>
      <c r="F94" s="39">
        <f t="shared" si="44"/>
        <v>194485.18788857476</v>
      </c>
      <c r="G94" s="39">
        <f t="shared" si="44"/>
        <v>231450.19645722676</v>
      </c>
      <c r="H94" s="39">
        <f t="shared" si="44"/>
        <v>268180.13274344814</v>
      </c>
      <c r="I94" s="39">
        <f t="shared" si="44"/>
        <v>306303.02145882405</v>
      </c>
      <c r="J94" s="118"/>
    </row>
    <row r="95" spans="1:13" ht="15" customHeight="1">
      <c r="A95" s="343" t="s">
        <v>244</v>
      </c>
      <c r="B95" s="39">
        <f>B89*B85</f>
        <v>29667.901813129127</v>
      </c>
      <c r="C95" s="39">
        <f t="shared" ref="C95:I95" si="45">C89*C85</f>
        <v>36396.755236040444</v>
      </c>
      <c r="D95" s="39">
        <f t="shared" si="45"/>
        <v>42775.88893602934</v>
      </c>
      <c r="E95" s="39">
        <f t="shared" si="45"/>
        <v>49381.909720062176</v>
      </c>
      <c r="F95" s="39">
        <f t="shared" si="45"/>
        <v>57276.425478562014</v>
      </c>
      <c r="G95" s="39">
        <f t="shared" si="45"/>
        <v>63459.725911433517</v>
      </c>
      <c r="H95" s="39">
        <f t="shared" si="45"/>
        <v>69601.334065681236</v>
      </c>
      <c r="I95" s="39">
        <f t="shared" si="45"/>
        <v>76106.470734565548</v>
      </c>
      <c r="J95" s="118"/>
    </row>
    <row r="96" spans="1:13" ht="15" customHeight="1">
      <c r="A96" s="343" t="s">
        <v>27</v>
      </c>
      <c r="B96" s="39">
        <f>B90*B87</f>
        <v>1087.9543145640055</v>
      </c>
      <c r="C96" s="39">
        <f t="shared" ref="C96:I96" si="46">C90*C87</f>
        <v>1730.1779546884459</v>
      </c>
      <c r="D96" s="39">
        <f t="shared" si="46"/>
        <v>4515.1526796709131</v>
      </c>
      <c r="E96" s="39">
        <f t="shared" si="46"/>
        <v>5692.9417288415725</v>
      </c>
      <c r="F96" s="39">
        <f t="shared" si="46"/>
        <v>6849.0076868091874</v>
      </c>
      <c r="G96" s="39">
        <f t="shared" si="46"/>
        <v>8007.0652504418031</v>
      </c>
      <c r="H96" s="39">
        <f t="shared" si="46"/>
        <v>9157.6859171563719</v>
      </c>
      <c r="I96" s="39">
        <f t="shared" si="46"/>
        <v>10355.933953759821</v>
      </c>
      <c r="J96" s="118"/>
    </row>
    <row r="97" spans="1:13" ht="15" customHeight="1">
      <c r="A97" s="343" t="s">
        <v>245</v>
      </c>
      <c r="B97" s="40">
        <f>B87*B91</f>
        <v>1087.9543145640055</v>
      </c>
      <c r="C97" s="40">
        <f t="shared" ref="C97:I97" si="47">C87*C91</f>
        <v>1730.1779546884459</v>
      </c>
      <c r="D97" s="40">
        <f t="shared" si="47"/>
        <v>4515.1526796709131</v>
      </c>
      <c r="E97" s="40">
        <f t="shared" si="47"/>
        <v>5692.9417288415725</v>
      </c>
      <c r="F97" s="40">
        <f t="shared" si="47"/>
        <v>6849.0076868091874</v>
      </c>
      <c r="G97" s="40">
        <f t="shared" si="47"/>
        <v>8007.0652504418031</v>
      </c>
      <c r="H97" s="40">
        <f t="shared" si="47"/>
        <v>9157.6859171563719</v>
      </c>
      <c r="I97" s="40">
        <f t="shared" si="47"/>
        <v>10355.933953759821</v>
      </c>
      <c r="J97" s="118"/>
    </row>
    <row r="98" spans="1:13" ht="15" customHeight="1">
      <c r="A98" s="343" t="s">
        <v>233</v>
      </c>
      <c r="B98" s="40">
        <f>B94+B96</f>
        <v>42338.905063552855</v>
      </c>
      <c r="C98" s="40">
        <f t="shared" ref="C98:I99" si="48">C94+C96</f>
        <v>80008.897628214196</v>
      </c>
      <c r="D98" s="40">
        <f t="shared" si="48"/>
        <v>119589.18790229609</v>
      </c>
      <c r="E98" s="40">
        <f t="shared" si="48"/>
        <v>158418.83824875311</v>
      </c>
      <c r="F98" s="40">
        <f t="shared" si="48"/>
        <v>201334.19557538396</v>
      </c>
      <c r="G98" s="40">
        <f t="shared" si="48"/>
        <v>239457.26170766857</v>
      </c>
      <c r="H98" s="40">
        <f t="shared" si="48"/>
        <v>277337.81866060453</v>
      </c>
      <c r="I98" s="40">
        <f t="shared" si="48"/>
        <v>316658.95541258389</v>
      </c>
      <c r="J98" s="118"/>
    </row>
    <row r="99" spans="1:13" ht="15" customHeight="1">
      <c r="A99" s="345" t="s">
        <v>234</v>
      </c>
      <c r="B99" s="342">
        <f>B95+B97</f>
        <v>30755.856127693132</v>
      </c>
      <c r="C99" s="342">
        <f t="shared" si="48"/>
        <v>38126.933190728887</v>
      </c>
      <c r="D99" s="342">
        <f t="shared" si="48"/>
        <v>47291.041615700255</v>
      </c>
      <c r="E99" s="342">
        <f t="shared" si="48"/>
        <v>55074.851448903748</v>
      </c>
      <c r="F99" s="342">
        <f t="shared" si="48"/>
        <v>64125.4331653712</v>
      </c>
      <c r="G99" s="342">
        <f t="shared" si="48"/>
        <v>71466.791161875328</v>
      </c>
      <c r="H99" s="342">
        <f t="shared" si="48"/>
        <v>78759.019982837606</v>
      </c>
      <c r="I99" s="342">
        <f t="shared" si="48"/>
        <v>86462.404688325361</v>
      </c>
      <c r="J99" s="118"/>
    </row>
    <row r="100" spans="1:13" ht="15" customHeight="1">
      <c r="A100" s="216" t="s">
        <v>28</v>
      </c>
      <c r="B100" s="290" t="s">
        <v>292</v>
      </c>
      <c r="C100" s="290" t="s">
        <v>293</v>
      </c>
      <c r="D100" s="290" t="s">
        <v>294</v>
      </c>
      <c r="E100" s="290" t="s">
        <v>295</v>
      </c>
      <c r="F100" s="290" t="s">
        <v>296</v>
      </c>
      <c r="G100" s="290" t="s">
        <v>297</v>
      </c>
      <c r="H100" s="290" t="s">
        <v>298</v>
      </c>
      <c r="I100" s="335" t="s">
        <v>299</v>
      </c>
      <c r="J100" s="118"/>
    </row>
    <row r="101" spans="1:13" ht="15" customHeight="1">
      <c r="A101" s="41" t="s">
        <v>22</v>
      </c>
      <c r="B101" s="42">
        <f>B30-B47-B79</f>
        <v>29750.927620741379</v>
      </c>
      <c r="C101" s="42">
        <f t="shared" ref="C101:I101" si="49">C30-C47-C79</f>
        <v>71160.815423590451</v>
      </c>
      <c r="D101" s="42">
        <f t="shared" si="49"/>
        <v>122942.91916255944</v>
      </c>
      <c r="E101" s="42">
        <f t="shared" si="49"/>
        <v>186286.35888372458</v>
      </c>
      <c r="F101" s="42">
        <f t="shared" si="49"/>
        <v>239014.08351961081</v>
      </c>
      <c r="G101" s="42">
        <f t="shared" si="49"/>
        <v>286002.30462336465</v>
      </c>
      <c r="H101" s="42">
        <f t="shared" si="49"/>
        <v>332692.49889958219</v>
      </c>
      <c r="I101" s="336">
        <f t="shared" si="49"/>
        <v>381110.06126266287</v>
      </c>
      <c r="J101" s="118"/>
    </row>
    <row r="102" spans="1:13" ht="15" customHeight="1">
      <c r="A102" s="41" t="s">
        <v>242</v>
      </c>
      <c r="B102" s="42">
        <f>B31-B48-B60-B80</f>
        <v>44360.494362009114</v>
      </c>
      <c r="C102" s="42">
        <f t="shared" ref="C102:E102" si="50">C31-C48-C60-C80</f>
        <v>59804.080873815408</v>
      </c>
      <c r="D102" s="42">
        <f t="shared" si="50"/>
        <v>70285.735769284045</v>
      </c>
      <c r="E102" s="42">
        <f t="shared" si="50"/>
        <v>81140.192400385189</v>
      </c>
      <c r="F102" s="42">
        <f>F31-F60-F80</f>
        <v>94111.795385846752</v>
      </c>
      <c r="G102" s="42">
        <f t="shared" ref="G102:I102" si="51">G31-G60-G80</f>
        <v>104271.67356060169</v>
      </c>
      <c r="H102" s="42">
        <f t="shared" si="51"/>
        <v>114363.04649673137</v>
      </c>
      <c r="I102" s="336">
        <f t="shared" si="51"/>
        <v>125051.73885181124</v>
      </c>
      <c r="J102" s="118"/>
    </row>
    <row r="103" spans="1:13" ht="15" customHeight="1">
      <c r="A103" s="41" t="s">
        <v>268</v>
      </c>
      <c r="B103" s="42">
        <f>SUM(B101:B102)</f>
        <v>74111.4219827505</v>
      </c>
      <c r="C103" s="42">
        <f t="shared" ref="C103:I103" si="52">SUM(C101:C102)</f>
        <v>130964.89629740585</v>
      </c>
      <c r="D103" s="42">
        <f t="shared" si="52"/>
        <v>193228.65493184348</v>
      </c>
      <c r="E103" s="42">
        <f t="shared" si="52"/>
        <v>267426.55128410977</v>
      </c>
      <c r="F103" s="42">
        <f t="shared" si="52"/>
        <v>333125.87890545756</v>
      </c>
      <c r="G103" s="42">
        <f t="shared" si="52"/>
        <v>390273.97818396636</v>
      </c>
      <c r="H103" s="42">
        <f t="shared" si="52"/>
        <v>447055.54539631354</v>
      </c>
      <c r="I103" s="336">
        <f t="shared" si="52"/>
        <v>506161.80011447414</v>
      </c>
      <c r="J103" s="118"/>
    </row>
    <row r="104" spans="1:13" ht="15" customHeight="1" thickBot="1">
      <c r="A104" s="41" t="s">
        <v>269</v>
      </c>
      <c r="B104" s="43">
        <f>IF((B33-B49-B62-B82)&gt;0, B33-B49-B62-B82, 0)</f>
        <v>4367.3256326096534</v>
      </c>
      <c r="C104" s="43">
        <f t="shared" ref="C104:I104" si="53">IF((C33-C49-C62-C82)&gt;0, C33-C49-C62-C82, 0)</f>
        <v>6945.3748464751825</v>
      </c>
      <c r="D104" s="43">
        <f t="shared" si="53"/>
        <v>16417.852993453795</v>
      </c>
      <c r="E104" s="43">
        <f t="shared" si="53"/>
        <v>20700.491663380893</v>
      </c>
      <c r="F104" s="43">
        <f t="shared" si="53"/>
        <v>24904.14152756046</v>
      </c>
      <c r="G104" s="43">
        <f t="shared" si="53"/>
        <v>29115.033204220952</v>
      </c>
      <c r="H104" s="43">
        <f t="shared" si="53"/>
        <v>33298.883075434256</v>
      </c>
      <c r="I104" s="337">
        <f t="shared" si="53"/>
        <v>37655.91405762553</v>
      </c>
      <c r="J104" s="118"/>
    </row>
    <row r="105" spans="1:13" ht="15" customHeight="1" thickBot="1">
      <c r="A105" s="44" t="s">
        <v>23</v>
      </c>
      <c r="B105" s="223">
        <v>0.2</v>
      </c>
      <c r="C105" s="45">
        <f>$B$105</f>
        <v>0.2</v>
      </c>
      <c r="D105" s="46">
        <f t="shared" ref="D105:I105" si="54">$B$105</f>
        <v>0.2</v>
      </c>
      <c r="E105" s="46">
        <f t="shared" si="54"/>
        <v>0.2</v>
      </c>
      <c r="F105" s="46">
        <f t="shared" si="54"/>
        <v>0.2</v>
      </c>
      <c r="G105" s="46">
        <f t="shared" si="54"/>
        <v>0.2</v>
      </c>
      <c r="H105" s="46">
        <f t="shared" si="54"/>
        <v>0.2</v>
      </c>
      <c r="I105" s="338">
        <f t="shared" si="54"/>
        <v>0.2</v>
      </c>
      <c r="J105" s="118"/>
      <c r="M105" s="6"/>
    </row>
    <row r="106" spans="1:13" ht="15" customHeight="1" thickBot="1">
      <c r="A106" s="41" t="s">
        <v>231</v>
      </c>
      <c r="B106" s="47">
        <f>1-B105</f>
        <v>0.8</v>
      </c>
      <c r="C106" s="46">
        <f>$B$106</f>
        <v>0.8</v>
      </c>
      <c r="D106" s="46">
        <f t="shared" ref="D106:I106" si="55">$B$106</f>
        <v>0.8</v>
      </c>
      <c r="E106" s="46">
        <f t="shared" si="55"/>
        <v>0.8</v>
      </c>
      <c r="F106" s="46">
        <f t="shared" si="55"/>
        <v>0.8</v>
      </c>
      <c r="G106" s="46">
        <f t="shared" si="55"/>
        <v>0.8</v>
      </c>
      <c r="H106" s="46">
        <f t="shared" si="55"/>
        <v>0.8</v>
      </c>
      <c r="I106" s="338">
        <f t="shared" si="55"/>
        <v>0.8</v>
      </c>
      <c r="J106" s="118"/>
    </row>
    <row r="107" spans="1:13" ht="15" customHeight="1" thickBot="1">
      <c r="A107" s="44" t="s">
        <v>24</v>
      </c>
      <c r="B107" s="223">
        <v>0.5</v>
      </c>
      <c r="C107" s="45">
        <f>$B$107</f>
        <v>0.5</v>
      </c>
      <c r="D107" s="46">
        <f t="shared" ref="D107:I107" si="56">$B$107</f>
        <v>0.5</v>
      </c>
      <c r="E107" s="46">
        <f t="shared" si="56"/>
        <v>0.5</v>
      </c>
      <c r="F107" s="46">
        <f t="shared" si="56"/>
        <v>0.5</v>
      </c>
      <c r="G107" s="46">
        <f t="shared" si="56"/>
        <v>0.5</v>
      </c>
      <c r="H107" s="46">
        <f t="shared" si="56"/>
        <v>0.5</v>
      </c>
      <c r="I107" s="338">
        <f t="shared" si="56"/>
        <v>0.5</v>
      </c>
      <c r="J107" s="118"/>
      <c r="M107" s="6"/>
    </row>
    <row r="108" spans="1:13" ht="15" customHeight="1">
      <c r="A108" s="41" t="s">
        <v>232</v>
      </c>
      <c r="B108" s="48">
        <f>1-B107</f>
        <v>0.5</v>
      </c>
      <c r="C108" s="46">
        <f>$B$108</f>
        <v>0.5</v>
      </c>
      <c r="D108" s="46">
        <f t="shared" ref="D108:I108" si="57">$B$108</f>
        <v>0.5</v>
      </c>
      <c r="E108" s="46">
        <f t="shared" si="57"/>
        <v>0.5</v>
      </c>
      <c r="F108" s="46">
        <f t="shared" si="57"/>
        <v>0.5</v>
      </c>
      <c r="G108" s="46">
        <f t="shared" si="57"/>
        <v>0.5</v>
      </c>
      <c r="H108" s="46">
        <f t="shared" si="57"/>
        <v>0.5</v>
      </c>
      <c r="I108" s="338">
        <f t="shared" si="57"/>
        <v>0.5</v>
      </c>
      <c r="J108" s="118"/>
    </row>
    <row r="109" spans="1:13" ht="15" customHeight="1">
      <c r="A109" s="41" t="s">
        <v>25</v>
      </c>
      <c r="B109" s="49">
        <f>B103*B105</f>
        <v>14822.284396550102</v>
      </c>
      <c r="C109" s="49">
        <f t="shared" ref="C109:I109" si="58">C103*C105</f>
        <v>26192.979259481173</v>
      </c>
      <c r="D109" s="49">
        <f t="shared" si="58"/>
        <v>38645.730986368697</v>
      </c>
      <c r="E109" s="49">
        <f t="shared" si="58"/>
        <v>53485.310256821955</v>
      </c>
      <c r="F109" s="49">
        <f t="shared" si="58"/>
        <v>66625.175781091515</v>
      </c>
      <c r="G109" s="49">
        <f t="shared" si="58"/>
        <v>78054.795636793278</v>
      </c>
      <c r="H109" s="49">
        <f t="shared" si="58"/>
        <v>89411.109079262707</v>
      </c>
      <c r="I109" s="339">
        <f t="shared" si="58"/>
        <v>101232.36002289483</v>
      </c>
      <c r="J109" s="118"/>
    </row>
    <row r="110" spans="1:13" ht="15" customHeight="1">
      <c r="A110" s="41" t="s">
        <v>243</v>
      </c>
      <c r="B110" s="49">
        <f>B106*B101</f>
        <v>23800.742096593105</v>
      </c>
      <c r="C110" s="49">
        <f t="shared" ref="C110:I110" si="59">C106*C101</f>
        <v>56928.652338872365</v>
      </c>
      <c r="D110" s="49">
        <f t="shared" si="59"/>
        <v>98354.335330047557</v>
      </c>
      <c r="E110" s="49">
        <f t="shared" si="59"/>
        <v>149029.08710697966</v>
      </c>
      <c r="F110" s="49">
        <f t="shared" si="59"/>
        <v>191211.26681568866</v>
      </c>
      <c r="G110" s="49">
        <f t="shared" si="59"/>
        <v>228801.84369869172</v>
      </c>
      <c r="H110" s="49">
        <f t="shared" si="59"/>
        <v>266153.99911966576</v>
      </c>
      <c r="I110" s="339">
        <f t="shared" si="59"/>
        <v>304888.04901013029</v>
      </c>
      <c r="J110" s="118"/>
    </row>
    <row r="111" spans="1:13" ht="15" customHeight="1">
      <c r="A111" s="41" t="s">
        <v>26</v>
      </c>
      <c r="B111" s="49">
        <f>SUM(B109:B110)</f>
        <v>38623.026493143203</v>
      </c>
      <c r="C111" s="49">
        <f t="shared" ref="C111:I111" si="60">SUM(C109:C110)</f>
        <v>83121.631598353531</v>
      </c>
      <c r="D111" s="49">
        <f t="shared" si="60"/>
        <v>137000.06631641625</v>
      </c>
      <c r="E111" s="49">
        <f t="shared" si="60"/>
        <v>202514.3973638016</v>
      </c>
      <c r="F111" s="49">
        <f t="shared" si="60"/>
        <v>257836.44259678019</v>
      </c>
      <c r="G111" s="49">
        <f t="shared" si="60"/>
        <v>306856.639335485</v>
      </c>
      <c r="H111" s="49">
        <f t="shared" si="60"/>
        <v>355565.10819892847</v>
      </c>
      <c r="I111" s="339">
        <f t="shared" si="60"/>
        <v>406120.40903302515</v>
      </c>
      <c r="J111" s="118"/>
    </row>
    <row r="112" spans="1:13" ht="15" customHeight="1">
      <c r="A112" s="41" t="s">
        <v>244</v>
      </c>
      <c r="B112" s="49">
        <f>B106*B102</f>
        <v>35488.39548960729</v>
      </c>
      <c r="C112" s="49">
        <f t="shared" ref="C112:I112" si="61">C106*C102</f>
        <v>47843.264699052328</v>
      </c>
      <c r="D112" s="49">
        <f t="shared" si="61"/>
        <v>56228.588615427238</v>
      </c>
      <c r="E112" s="49">
        <f t="shared" si="61"/>
        <v>64912.153920308156</v>
      </c>
      <c r="F112" s="49">
        <f t="shared" si="61"/>
        <v>75289.43630867741</v>
      </c>
      <c r="G112" s="49">
        <f t="shared" si="61"/>
        <v>83417.338848481362</v>
      </c>
      <c r="H112" s="49">
        <f t="shared" si="61"/>
        <v>91490.437197385108</v>
      </c>
      <c r="I112" s="339">
        <f t="shared" si="61"/>
        <v>100041.39108144899</v>
      </c>
      <c r="J112" s="118"/>
    </row>
    <row r="113" spans="1:13" ht="15" customHeight="1">
      <c r="A113" s="41" t="s">
        <v>27</v>
      </c>
      <c r="B113" s="49">
        <f>B107*B104</f>
        <v>2183.6628163048267</v>
      </c>
      <c r="C113" s="49">
        <f t="shared" ref="C113:I113" si="62">C107*C104</f>
        <v>3472.6874232375912</v>
      </c>
      <c r="D113" s="49">
        <f t="shared" si="62"/>
        <v>8208.9264967268973</v>
      </c>
      <c r="E113" s="49">
        <f t="shared" si="62"/>
        <v>10350.245831690447</v>
      </c>
      <c r="F113" s="49">
        <f t="shared" si="62"/>
        <v>12452.07076378023</v>
      </c>
      <c r="G113" s="49">
        <f t="shared" si="62"/>
        <v>14557.516602110476</v>
      </c>
      <c r="H113" s="49">
        <f t="shared" si="62"/>
        <v>16649.441537717128</v>
      </c>
      <c r="I113" s="339">
        <f t="shared" si="62"/>
        <v>18827.957028812765</v>
      </c>
      <c r="J113" s="118"/>
    </row>
    <row r="114" spans="1:13" ht="15" customHeight="1">
      <c r="A114" s="41" t="s">
        <v>245</v>
      </c>
      <c r="B114" s="50">
        <f>B104*B108</f>
        <v>2183.6628163048267</v>
      </c>
      <c r="C114" s="50">
        <f t="shared" ref="C114:I114" si="63">C104*C108</f>
        <v>3472.6874232375912</v>
      </c>
      <c r="D114" s="50">
        <f t="shared" si="63"/>
        <v>8208.9264967268973</v>
      </c>
      <c r="E114" s="50">
        <f t="shared" si="63"/>
        <v>10350.245831690447</v>
      </c>
      <c r="F114" s="50">
        <f t="shared" si="63"/>
        <v>12452.07076378023</v>
      </c>
      <c r="G114" s="50">
        <f t="shared" si="63"/>
        <v>14557.516602110476</v>
      </c>
      <c r="H114" s="50">
        <f t="shared" si="63"/>
        <v>16649.441537717128</v>
      </c>
      <c r="I114" s="340">
        <f t="shared" si="63"/>
        <v>18827.957028812765</v>
      </c>
      <c r="J114" s="118"/>
    </row>
    <row r="115" spans="1:13" ht="15" customHeight="1">
      <c r="A115" s="41" t="s">
        <v>233</v>
      </c>
      <c r="B115" s="50">
        <f>B111+B113</f>
        <v>40806.689309448033</v>
      </c>
      <c r="C115" s="50">
        <f t="shared" ref="C115:I116" si="64">C111+C113</f>
        <v>86594.319021591116</v>
      </c>
      <c r="D115" s="50">
        <f t="shared" si="64"/>
        <v>145208.99281314315</v>
      </c>
      <c r="E115" s="50">
        <f t="shared" si="64"/>
        <v>212864.64319549204</v>
      </c>
      <c r="F115" s="50">
        <f t="shared" si="64"/>
        <v>270288.51336056041</v>
      </c>
      <c r="G115" s="50">
        <f t="shared" si="64"/>
        <v>321414.15593759547</v>
      </c>
      <c r="H115" s="50">
        <f t="shared" si="64"/>
        <v>372214.5497366456</v>
      </c>
      <c r="I115" s="340">
        <f t="shared" si="64"/>
        <v>424948.36606183794</v>
      </c>
      <c r="J115" s="118"/>
    </row>
    <row r="116" spans="1:13" ht="15" customHeight="1">
      <c r="A116" s="162" t="s">
        <v>234</v>
      </c>
      <c r="B116" s="163">
        <f>B112+B114</f>
        <v>37672.05830591212</v>
      </c>
      <c r="C116" s="163">
        <f t="shared" si="64"/>
        <v>51315.95212228992</v>
      </c>
      <c r="D116" s="163">
        <f t="shared" si="64"/>
        <v>64437.515112154135</v>
      </c>
      <c r="E116" s="163">
        <f t="shared" si="64"/>
        <v>75262.399751998601</v>
      </c>
      <c r="F116" s="163">
        <f t="shared" si="64"/>
        <v>87741.507072457636</v>
      </c>
      <c r="G116" s="163">
        <f t="shared" si="64"/>
        <v>97974.855450591844</v>
      </c>
      <c r="H116" s="163">
        <f t="shared" si="64"/>
        <v>108139.87873510223</v>
      </c>
      <c r="I116" s="341">
        <f t="shared" si="64"/>
        <v>118869.34811026175</v>
      </c>
      <c r="J116" s="118"/>
      <c r="K116" s="130"/>
    </row>
    <row r="117" spans="1:13" ht="15" customHeight="1">
      <c r="A117" s="331" t="s">
        <v>29</v>
      </c>
      <c r="B117" s="332" t="s">
        <v>292</v>
      </c>
      <c r="C117" s="332" t="s">
        <v>293</v>
      </c>
      <c r="D117" s="332" t="s">
        <v>294</v>
      </c>
      <c r="E117" s="332" t="s">
        <v>295</v>
      </c>
      <c r="F117" s="332" t="s">
        <v>296</v>
      </c>
      <c r="G117" s="332" t="s">
        <v>297</v>
      </c>
      <c r="H117" s="332" t="s">
        <v>298</v>
      </c>
      <c r="I117" s="332" t="s">
        <v>299</v>
      </c>
      <c r="J117" s="118"/>
      <c r="K117" s="130"/>
    </row>
    <row r="118" spans="1:13" ht="15" customHeight="1" thickBot="1">
      <c r="A118" s="329" t="s">
        <v>149</v>
      </c>
      <c r="B118" s="285">
        <v>0</v>
      </c>
      <c r="C118" s="201">
        <f>B118</f>
        <v>0</v>
      </c>
      <c r="D118" s="165">
        <f>B118</f>
        <v>0</v>
      </c>
      <c r="E118" s="200">
        <f>B118</f>
        <v>0</v>
      </c>
      <c r="F118" s="285">
        <v>0</v>
      </c>
      <c r="G118" s="201">
        <f>F118</f>
        <v>0</v>
      </c>
      <c r="H118" s="165">
        <f>F118</f>
        <v>0</v>
      </c>
      <c r="I118" s="165">
        <f>F118</f>
        <v>0</v>
      </c>
      <c r="J118" s="118"/>
      <c r="K118" s="130"/>
    </row>
    <row r="119" spans="1:13" ht="15" customHeight="1">
      <c r="A119" s="203" t="s">
        <v>30</v>
      </c>
      <c r="B119" s="165">
        <f>1-B118</f>
        <v>1</v>
      </c>
      <c r="C119" s="52">
        <f t="shared" ref="C119:I119" si="65">1-C118</f>
        <v>1</v>
      </c>
      <c r="D119" s="52">
        <f t="shared" si="65"/>
        <v>1</v>
      </c>
      <c r="E119" s="52">
        <f t="shared" si="65"/>
        <v>1</v>
      </c>
      <c r="F119" s="165">
        <f t="shared" si="65"/>
        <v>1</v>
      </c>
      <c r="G119" s="52">
        <f t="shared" si="65"/>
        <v>1</v>
      </c>
      <c r="H119" s="52">
        <f t="shared" si="65"/>
        <v>1</v>
      </c>
      <c r="I119" s="52">
        <f t="shared" si="65"/>
        <v>1</v>
      </c>
      <c r="J119" s="118"/>
      <c r="K119" s="130"/>
    </row>
    <row r="120" spans="1:13" ht="15" customHeight="1">
      <c r="A120" s="330" t="s">
        <v>147</v>
      </c>
      <c r="B120" s="52">
        <f>Scenarios!C9</f>
        <v>0.35</v>
      </c>
      <c r="C120" s="52">
        <f>Scenarios!D9</f>
        <v>0.35</v>
      </c>
      <c r="D120" s="52">
        <f>Scenarios!E9</f>
        <v>0.35</v>
      </c>
      <c r="E120" s="52">
        <f>Scenarios!F9</f>
        <v>0.35</v>
      </c>
      <c r="F120" s="52">
        <f>Scenarios!G9</f>
        <v>0.45</v>
      </c>
      <c r="G120" s="52">
        <f>Scenarios!H9</f>
        <v>0.45</v>
      </c>
      <c r="H120" s="52">
        <f>Scenarios!I9</f>
        <v>0.45</v>
      </c>
      <c r="I120" s="52">
        <f>Scenarios!J9</f>
        <v>0.45</v>
      </c>
      <c r="J120" s="118"/>
      <c r="K120" s="130"/>
      <c r="M120" s="6"/>
    </row>
    <row r="121" spans="1:13" ht="15" customHeight="1" thickBot="1">
      <c r="A121" s="203" t="s">
        <v>31</v>
      </c>
      <c r="B121" s="205">
        <f>1-B120</f>
        <v>0.65</v>
      </c>
      <c r="C121" s="52">
        <f t="shared" ref="C121:I121" si="66">1-C120</f>
        <v>0.65</v>
      </c>
      <c r="D121" s="52">
        <f t="shared" si="66"/>
        <v>0.65</v>
      </c>
      <c r="E121" s="52">
        <f t="shared" si="66"/>
        <v>0.65</v>
      </c>
      <c r="F121" s="205">
        <f t="shared" si="66"/>
        <v>0.55000000000000004</v>
      </c>
      <c r="G121" s="52">
        <f t="shared" si="66"/>
        <v>0.55000000000000004</v>
      </c>
      <c r="H121" s="52">
        <f t="shared" si="66"/>
        <v>0.55000000000000004</v>
      </c>
      <c r="I121" s="52">
        <f t="shared" si="66"/>
        <v>0.55000000000000004</v>
      </c>
      <c r="J121" s="118"/>
      <c r="K121" s="130"/>
    </row>
    <row r="122" spans="1:13" ht="15" customHeight="1" thickBot="1">
      <c r="A122" s="330" t="s">
        <v>148</v>
      </c>
      <c r="B122" s="223">
        <v>0</v>
      </c>
      <c r="C122" s="202">
        <f>B122</f>
        <v>0</v>
      </c>
      <c r="D122" s="52">
        <f>B122</f>
        <v>0</v>
      </c>
      <c r="E122" s="199">
        <f>B122</f>
        <v>0</v>
      </c>
      <c r="F122" s="223">
        <v>0</v>
      </c>
      <c r="G122" s="202">
        <f>F122</f>
        <v>0</v>
      </c>
      <c r="H122" s="52">
        <f>F122</f>
        <v>0</v>
      </c>
      <c r="I122" s="52">
        <f>F122</f>
        <v>0</v>
      </c>
      <c r="J122" s="118"/>
      <c r="K122" s="130"/>
    </row>
    <row r="123" spans="1:13" ht="15" customHeight="1">
      <c r="A123" s="203" t="s">
        <v>32</v>
      </c>
      <c r="B123" s="208">
        <f>1-B122</f>
        <v>1</v>
      </c>
      <c r="C123" s="52">
        <f t="shared" ref="C123:I123" si="67">1-C122</f>
        <v>1</v>
      </c>
      <c r="D123" s="52">
        <f t="shared" si="67"/>
        <v>1</v>
      </c>
      <c r="E123" s="52">
        <f t="shared" si="67"/>
        <v>1</v>
      </c>
      <c r="F123" s="165">
        <f t="shared" si="67"/>
        <v>1</v>
      </c>
      <c r="G123" s="52">
        <f t="shared" si="67"/>
        <v>1</v>
      </c>
      <c r="H123" s="52">
        <f t="shared" si="67"/>
        <v>1</v>
      </c>
      <c r="I123" s="52">
        <f t="shared" si="67"/>
        <v>1</v>
      </c>
      <c r="J123" s="118"/>
      <c r="K123" s="130"/>
    </row>
    <row r="124" spans="1:13" ht="15" customHeight="1" thickBot="1">
      <c r="A124" s="203" t="s">
        <v>33</v>
      </c>
      <c r="B124" s="206">
        <f>Scenarios!C10</f>
        <v>150</v>
      </c>
      <c r="C124" s="103">
        <f>Scenarios!D10</f>
        <v>157.5</v>
      </c>
      <c r="D124" s="103">
        <f>Scenarios!E10</f>
        <v>165.375</v>
      </c>
      <c r="E124" s="103">
        <f>Scenarios!F10</f>
        <v>173.64375000000001</v>
      </c>
      <c r="F124" s="206">
        <f>Scenarios!G10</f>
        <v>182.32593750000001</v>
      </c>
      <c r="G124" s="103">
        <f>Scenarios!H10</f>
        <v>191.44223437500003</v>
      </c>
      <c r="H124" s="103">
        <f>Scenarios!I10</f>
        <v>201.01434609375005</v>
      </c>
      <c r="I124" s="103">
        <f>Scenarios!J10</f>
        <v>211.06506339843756</v>
      </c>
      <c r="J124" s="118"/>
      <c r="K124" s="130"/>
    </row>
    <row r="125" spans="1:13" ht="15" customHeight="1" thickBot="1">
      <c r="A125" s="330" t="s">
        <v>146</v>
      </c>
      <c r="B125" s="228">
        <v>300</v>
      </c>
      <c r="C125" s="203">
        <f>$B$125</f>
        <v>300</v>
      </c>
      <c r="D125" s="51">
        <f>$B$125</f>
        <v>300</v>
      </c>
      <c r="E125" s="97">
        <f>$B$125</f>
        <v>300</v>
      </c>
      <c r="F125" s="228">
        <v>300</v>
      </c>
      <c r="G125" s="203">
        <f>$F$125</f>
        <v>300</v>
      </c>
      <c r="H125" s="51">
        <f>$F$125</f>
        <v>300</v>
      </c>
      <c r="I125" s="51">
        <f>$F$125</f>
        <v>300</v>
      </c>
      <c r="J125" s="118"/>
      <c r="K125" s="130"/>
    </row>
    <row r="126" spans="1:13" ht="15" customHeight="1">
      <c r="A126" s="203" t="s">
        <v>34</v>
      </c>
      <c r="B126" s="209">
        <f>B124/0.7</f>
        <v>214.28571428571431</v>
      </c>
      <c r="C126" s="103">
        <f t="shared" ref="C126:I127" si="68">C124/0.7</f>
        <v>225.00000000000003</v>
      </c>
      <c r="D126" s="103">
        <f t="shared" si="68"/>
        <v>236.25000000000003</v>
      </c>
      <c r="E126" s="103">
        <f t="shared" si="68"/>
        <v>248.06250000000003</v>
      </c>
      <c r="F126" s="209">
        <f t="shared" si="68"/>
        <v>260.46562500000005</v>
      </c>
      <c r="G126" s="103">
        <f t="shared" si="68"/>
        <v>273.48890625000007</v>
      </c>
      <c r="H126" s="103">
        <f t="shared" si="68"/>
        <v>287.16335156250011</v>
      </c>
      <c r="I126" s="103">
        <f t="shared" si="68"/>
        <v>301.52151914062512</v>
      </c>
      <c r="J126" s="118"/>
      <c r="K126" s="130"/>
    </row>
    <row r="127" spans="1:13" ht="15" customHeight="1">
      <c r="A127" s="203" t="s">
        <v>226</v>
      </c>
      <c r="B127" s="103">
        <f>B125/0.7</f>
        <v>428.57142857142861</v>
      </c>
      <c r="C127" s="103">
        <f t="shared" si="68"/>
        <v>428.57142857142861</v>
      </c>
      <c r="D127" s="103">
        <f t="shared" si="68"/>
        <v>428.57142857142861</v>
      </c>
      <c r="E127" s="103">
        <f t="shared" si="68"/>
        <v>428.57142857142861</v>
      </c>
      <c r="F127" s="103">
        <f t="shared" si="68"/>
        <v>428.57142857142861</v>
      </c>
      <c r="G127" s="103">
        <f t="shared" si="68"/>
        <v>428.57142857142861</v>
      </c>
      <c r="H127" s="103">
        <f t="shared" si="68"/>
        <v>428.57142857142861</v>
      </c>
      <c r="I127" s="103">
        <f t="shared" si="68"/>
        <v>428.57142857142861</v>
      </c>
      <c r="J127" s="118"/>
      <c r="K127" s="130"/>
    </row>
    <row r="128" spans="1:13" ht="15" customHeight="1">
      <c r="A128" s="203" t="s">
        <v>35</v>
      </c>
      <c r="B128" s="104">
        <f>IF(((B126/100)+0.5)&lt;4, (B126/100)+0.5, 4)</f>
        <v>2.6428571428571432</v>
      </c>
      <c r="C128" s="104">
        <f t="shared" ref="C128:I129" si="69">IF(((C126/100)+0.5)&lt;4, (C126/100)+0.5, 4)</f>
        <v>2.7500000000000004</v>
      </c>
      <c r="D128" s="104">
        <f t="shared" si="69"/>
        <v>2.8625000000000003</v>
      </c>
      <c r="E128" s="104">
        <f t="shared" si="69"/>
        <v>2.9806250000000003</v>
      </c>
      <c r="F128" s="104">
        <f t="shared" si="69"/>
        <v>3.1046562500000006</v>
      </c>
      <c r="G128" s="104">
        <f t="shared" si="69"/>
        <v>3.2348890625000006</v>
      </c>
      <c r="H128" s="104">
        <f t="shared" si="69"/>
        <v>3.371633515625001</v>
      </c>
      <c r="I128" s="104">
        <f t="shared" si="69"/>
        <v>3.5152151914062513</v>
      </c>
      <c r="J128" s="118"/>
    </row>
    <row r="129" spans="1:11" ht="15" customHeight="1">
      <c r="A129" s="203" t="s">
        <v>227</v>
      </c>
      <c r="B129" s="105">
        <f>IF(((B127/100)+0.5)&lt;4, (B127/100)+0.5, 4)</f>
        <v>4</v>
      </c>
      <c r="C129" s="105">
        <f t="shared" si="69"/>
        <v>4</v>
      </c>
      <c r="D129" s="105">
        <f t="shared" si="69"/>
        <v>4</v>
      </c>
      <c r="E129" s="105">
        <f t="shared" si="69"/>
        <v>4</v>
      </c>
      <c r="F129" s="105">
        <f t="shared" si="69"/>
        <v>4</v>
      </c>
      <c r="G129" s="105">
        <f t="shared" si="69"/>
        <v>4</v>
      </c>
      <c r="H129" s="105">
        <f t="shared" si="69"/>
        <v>4</v>
      </c>
      <c r="I129" s="105">
        <f t="shared" si="69"/>
        <v>4</v>
      </c>
      <c r="J129" s="118"/>
    </row>
    <row r="130" spans="1:11" ht="15" customHeight="1">
      <c r="A130" s="203" t="s">
        <v>118</v>
      </c>
      <c r="B130" s="52">
        <f>Scenarios!C11</f>
        <v>0.65</v>
      </c>
      <c r="C130" s="52">
        <f>Scenarios!D11</f>
        <v>0.65</v>
      </c>
      <c r="D130" s="52">
        <f>Scenarios!E11</f>
        <v>0.65</v>
      </c>
      <c r="E130" s="52">
        <f>Scenarios!F11</f>
        <v>0.65</v>
      </c>
      <c r="F130" s="52">
        <f>Scenarios!G11</f>
        <v>0.5</v>
      </c>
      <c r="G130" s="52">
        <f>Scenarios!H11</f>
        <v>0.5</v>
      </c>
      <c r="H130" s="52">
        <f>Scenarios!I11</f>
        <v>0.5</v>
      </c>
      <c r="I130" s="52">
        <f>Scenarios!J11</f>
        <v>0.5</v>
      </c>
      <c r="J130" s="118"/>
    </row>
    <row r="131" spans="1:11" ht="15" customHeight="1" thickBot="1">
      <c r="A131" s="203" t="s">
        <v>119</v>
      </c>
      <c r="B131" s="207">
        <f>1-B130</f>
        <v>0.35</v>
      </c>
      <c r="C131" s="106">
        <f t="shared" ref="C131:I131" si="70">1-C130</f>
        <v>0.35</v>
      </c>
      <c r="D131" s="106">
        <f t="shared" si="70"/>
        <v>0.35</v>
      </c>
      <c r="E131" s="106">
        <f t="shared" si="70"/>
        <v>0.35</v>
      </c>
      <c r="F131" s="207">
        <f t="shared" si="70"/>
        <v>0.5</v>
      </c>
      <c r="G131" s="106">
        <f t="shared" si="70"/>
        <v>0.5</v>
      </c>
      <c r="H131" s="106">
        <f t="shared" si="70"/>
        <v>0.5</v>
      </c>
      <c r="I131" s="106">
        <f t="shared" si="70"/>
        <v>0.5</v>
      </c>
      <c r="J131" s="118"/>
    </row>
    <row r="132" spans="1:11" ht="15" customHeight="1" thickBot="1">
      <c r="A132" s="330" t="s">
        <v>179</v>
      </c>
      <c r="B132" s="225">
        <v>0.75</v>
      </c>
      <c r="C132" s="204">
        <f>$B$132</f>
        <v>0.75</v>
      </c>
      <c r="D132" s="106">
        <f>$B$132</f>
        <v>0.75</v>
      </c>
      <c r="E132" s="198">
        <f>$B$132</f>
        <v>0.75</v>
      </c>
      <c r="F132" s="229">
        <v>0.5</v>
      </c>
      <c r="G132" s="204">
        <f>$F$132</f>
        <v>0.5</v>
      </c>
      <c r="H132" s="106">
        <f>$F$132</f>
        <v>0.5</v>
      </c>
      <c r="I132" s="106">
        <f>$F$132</f>
        <v>0.5</v>
      </c>
      <c r="J132" s="118"/>
    </row>
    <row r="133" spans="1:11" ht="15" customHeight="1">
      <c r="A133" s="203" t="s">
        <v>120</v>
      </c>
      <c r="B133" s="210">
        <f>1-B132</f>
        <v>0.25</v>
      </c>
      <c r="C133" s="106">
        <f t="shared" ref="C133:I133" si="71">1-C132</f>
        <v>0.25</v>
      </c>
      <c r="D133" s="106">
        <f t="shared" si="71"/>
        <v>0.25</v>
      </c>
      <c r="E133" s="106">
        <f t="shared" si="71"/>
        <v>0.25</v>
      </c>
      <c r="F133" s="210">
        <f t="shared" si="71"/>
        <v>0.5</v>
      </c>
      <c r="G133" s="106">
        <f t="shared" si="71"/>
        <v>0.5</v>
      </c>
      <c r="H133" s="106">
        <f t="shared" si="71"/>
        <v>0.5</v>
      </c>
      <c r="I133" s="106">
        <f t="shared" si="71"/>
        <v>0.5</v>
      </c>
      <c r="J133" s="118"/>
    </row>
    <row r="134" spans="1:11" ht="15" customHeight="1">
      <c r="A134" s="203" t="s">
        <v>121</v>
      </c>
      <c r="B134" s="103">
        <f>Scenarios!C12</f>
        <v>20</v>
      </c>
      <c r="C134" s="103">
        <f>Scenarios!D12</f>
        <v>21</v>
      </c>
      <c r="D134" s="103">
        <f>Scenarios!E12</f>
        <v>22.05</v>
      </c>
      <c r="E134" s="103">
        <f>Scenarios!F12</f>
        <v>23.152500000000003</v>
      </c>
      <c r="F134" s="103">
        <f>Scenarios!G12</f>
        <v>24.310125000000003</v>
      </c>
      <c r="G134" s="103">
        <f>Scenarios!H12</f>
        <v>25.525631250000004</v>
      </c>
      <c r="H134" s="103">
        <f>Scenarios!I12</f>
        <v>26.801912812500007</v>
      </c>
      <c r="I134" s="103">
        <f>Scenarios!J12</f>
        <v>28.142008453125008</v>
      </c>
      <c r="J134" s="118"/>
    </row>
    <row r="135" spans="1:11" ht="15" customHeight="1" thickBot="1">
      <c r="A135" s="203" t="s">
        <v>128</v>
      </c>
      <c r="B135" s="206">
        <f>B134/0.7</f>
        <v>28.571428571428573</v>
      </c>
      <c r="C135" s="206">
        <f t="shared" ref="C135:I135" si="72">C134/0.7</f>
        <v>30.000000000000004</v>
      </c>
      <c r="D135" s="206">
        <f t="shared" si="72"/>
        <v>31.500000000000004</v>
      </c>
      <c r="E135" s="206">
        <f t="shared" si="72"/>
        <v>33.07500000000001</v>
      </c>
      <c r="F135" s="206">
        <f t="shared" si="72"/>
        <v>34.728750000000005</v>
      </c>
      <c r="G135" s="206">
        <f t="shared" si="72"/>
        <v>36.465187500000006</v>
      </c>
      <c r="H135" s="206">
        <f t="shared" si="72"/>
        <v>38.288446875000012</v>
      </c>
      <c r="I135" s="206">
        <f t="shared" si="72"/>
        <v>40.202869218750017</v>
      </c>
      <c r="J135" s="118"/>
    </row>
    <row r="136" spans="1:11" ht="14.25" customHeight="1" thickBot="1">
      <c r="A136" s="330" t="s">
        <v>225</v>
      </c>
      <c r="B136" s="230" t="s">
        <v>36</v>
      </c>
      <c r="C136" s="230" t="s">
        <v>36</v>
      </c>
      <c r="D136" s="230" t="s">
        <v>36</v>
      </c>
      <c r="E136" s="230" t="s">
        <v>36</v>
      </c>
      <c r="F136" s="230" t="s">
        <v>36</v>
      </c>
      <c r="G136" s="230" t="s">
        <v>36</v>
      </c>
      <c r="H136" s="230" t="s">
        <v>36</v>
      </c>
      <c r="I136" s="230" t="s">
        <v>36</v>
      </c>
      <c r="J136" s="118"/>
    </row>
    <row r="137" spans="1:11" ht="15" customHeight="1">
      <c r="A137" s="203" t="s">
        <v>37</v>
      </c>
      <c r="B137" s="211">
        <f>IF(B136="YES",0.2,0)</f>
        <v>0</v>
      </c>
      <c r="C137" s="211">
        <f t="shared" ref="C137:I137" si="73">IF(C136="YES",0.2,0)</f>
        <v>0</v>
      </c>
      <c r="D137" s="211">
        <f t="shared" si="73"/>
        <v>0</v>
      </c>
      <c r="E137" s="211">
        <f t="shared" si="73"/>
        <v>0</v>
      </c>
      <c r="F137" s="211">
        <f t="shared" si="73"/>
        <v>0</v>
      </c>
      <c r="G137" s="211">
        <f t="shared" si="73"/>
        <v>0</v>
      </c>
      <c r="H137" s="211">
        <f t="shared" si="73"/>
        <v>0</v>
      </c>
      <c r="I137" s="211">
        <f t="shared" si="73"/>
        <v>0</v>
      </c>
      <c r="J137" s="118"/>
    </row>
    <row r="138" spans="1:11" ht="15" customHeight="1">
      <c r="A138" s="203" t="s">
        <v>223</v>
      </c>
      <c r="B138" s="107">
        <f>IF(B137=0.2, B135/100+0.5,B135/100+0.3)</f>
        <v>0.58571428571428574</v>
      </c>
      <c r="C138" s="107">
        <f t="shared" ref="C138:I138" si="74">IF(C137=0.2, C135/100+0.5,C135/100+0.3)</f>
        <v>0.60000000000000009</v>
      </c>
      <c r="D138" s="107">
        <f t="shared" si="74"/>
        <v>0.61499999999999999</v>
      </c>
      <c r="E138" s="107">
        <f t="shared" si="74"/>
        <v>0.63075000000000014</v>
      </c>
      <c r="F138" s="107">
        <f t="shared" si="74"/>
        <v>0.64728750000000002</v>
      </c>
      <c r="G138" s="107">
        <f t="shared" si="74"/>
        <v>0.66465187500000011</v>
      </c>
      <c r="H138" s="107">
        <f t="shared" si="74"/>
        <v>0.6828844687500002</v>
      </c>
      <c r="I138" s="107">
        <f t="shared" si="74"/>
        <v>0.70202869218750008</v>
      </c>
      <c r="J138" s="118"/>
    </row>
    <row r="139" spans="1:11" ht="15" customHeight="1">
      <c r="A139" s="203" t="s">
        <v>222</v>
      </c>
      <c r="B139" s="107">
        <f>IF(B138&gt;1.3, 1.3, B138)</f>
        <v>0.58571428571428574</v>
      </c>
      <c r="C139" s="107">
        <f t="shared" ref="C139:I139" si="75">IF(C138&gt;1.3, 1.3, C138)</f>
        <v>0.60000000000000009</v>
      </c>
      <c r="D139" s="107">
        <f t="shared" si="75"/>
        <v>0.61499999999999999</v>
      </c>
      <c r="E139" s="107">
        <f t="shared" si="75"/>
        <v>0.63075000000000014</v>
      </c>
      <c r="F139" s="107">
        <f t="shared" si="75"/>
        <v>0.64728750000000002</v>
      </c>
      <c r="G139" s="107">
        <f t="shared" si="75"/>
        <v>0.66465187500000011</v>
      </c>
      <c r="H139" s="107">
        <f t="shared" si="75"/>
        <v>0.6828844687500002</v>
      </c>
      <c r="I139" s="107">
        <f t="shared" si="75"/>
        <v>0.70202869218750008</v>
      </c>
      <c r="J139" s="118"/>
    </row>
    <row r="140" spans="1:11" ht="15" customHeight="1">
      <c r="A140" s="203" t="s">
        <v>122</v>
      </c>
      <c r="B140" s="103">
        <f>Scenarios!C13</f>
        <v>40</v>
      </c>
      <c r="C140" s="103">
        <f>Scenarios!D13</f>
        <v>42</v>
      </c>
      <c r="D140" s="103">
        <f>Scenarios!E13</f>
        <v>44.1</v>
      </c>
      <c r="E140" s="103">
        <f>Scenarios!F13</f>
        <v>46.305000000000007</v>
      </c>
      <c r="F140" s="103">
        <f>Scenarios!G13</f>
        <v>48.620250000000006</v>
      </c>
      <c r="G140" s="103">
        <f>Scenarios!H13</f>
        <v>51.051262500000007</v>
      </c>
      <c r="H140" s="103">
        <f>Scenarios!I13</f>
        <v>53.603825625000013</v>
      </c>
      <c r="I140" s="103">
        <f>Scenarios!J13</f>
        <v>56.284016906250017</v>
      </c>
      <c r="J140" s="118"/>
    </row>
    <row r="141" spans="1:11" ht="15" customHeight="1" thickBot="1">
      <c r="A141" s="203" t="s">
        <v>127</v>
      </c>
      <c r="B141" s="206">
        <f>B140/0.7</f>
        <v>57.142857142857146</v>
      </c>
      <c r="C141" s="206">
        <f t="shared" ref="C141:I141" si="76">C140/0.7</f>
        <v>60.000000000000007</v>
      </c>
      <c r="D141" s="206">
        <f t="shared" si="76"/>
        <v>63.000000000000007</v>
      </c>
      <c r="E141" s="206">
        <f t="shared" si="76"/>
        <v>66.15000000000002</v>
      </c>
      <c r="F141" s="206">
        <f t="shared" si="76"/>
        <v>69.45750000000001</v>
      </c>
      <c r="G141" s="206">
        <f t="shared" si="76"/>
        <v>72.930375000000012</v>
      </c>
      <c r="H141" s="206">
        <f t="shared" si="76"/>
        <v>76.576893750000025</v>
      </c>
      <c r="I141" s="206">
        <f t="shared" si="76"/>
        <v>80.405738437500034</v>
      </c>
      <c r="J141" s="118"/>
    </row>
    <row r="142" spans="1:11" ht="14.25" customHeight="1" thickBot="1">
      <c r="A142" s="330" t="s">
        <v>224</v>
      </c>
      <c r="B142" s="228" t="s">
        <v>39</v>
      </c>
      <c r="C142" s="228" t="s">
        <v>39</v>
      </c>
      <c r="D142" s="228" t="s">
        <v>39</v>
      </c>
      <c r="E142" s="228" t="s">
        <v>39</v>
      </c>
      <c r="F142" s="228" t="s">
        <v>39</v>
      </c>
      <c r="G142" s="228" t="s">
        <v>39</v>
      </c>
      <c r="H142" s="228" t="s">
        <v>39</v>
      </c>
      <c r="I142" s="228" t="s">
        <v>39</v>
      </c>
      <c r="J142" s="118"/>
      <c r="K142" s="128"/>
    </row>
    <row r="143" spans="1:11" ht="15" customHeight="1">
      <c r="A143" s="203" t="s">
        <v>37</v>
      </c>
      <c r="B143" s="164">
        <f>IF(B142="YES",0.2,0)</f>
        <v>0.2</v>
      </c>
      <c r="C143" s="164">
        <f t="shared" ref="C143:I143" si="77">IF(C142="YES",0.2,0)</f>
        <v>0.2</v>
      </c>
      <c r="D143" s="164">
        <f t="shared" si="77"/>
        <v>0.2</v>
      </c>
      <c r="E143" s="164">
        <f t="shared" si="77"/>
        <v>0.2</v>
      </c>
      <c r="F143" s="164">
        <f t="shared" si="77"/>
        <v>0.2</v>
      </c>
      <c r="G143" s="164">
        <f t="shared" si="77"/>
        <v>0.2</v>
      </c>
      <c r="H143" s="164">
        <f t="shared" si="77"/>
        <v>0.2</v>
      </c>
      <c r="I143" s="164">
        <f t="shared" si="77"/>
        <v>0.2</v>
      </c>
      <c r="J143" s="118"/>
      <c r="K143" s="128"/>
    </row>
    <row r="144" spans="1:11" ht="15" customHeight="1">
      <c r="A144" s="203" t="s">
        <v>38</v>
      </c>
      <c r="B144" s="215">
        <f>IF(B143=0.2, B141/100+0.5,B141/100+0.3)</f>
        <v>1.0714285714285716</v>
      </c>
      <c r="C144" s="215">
        <f t="shared" ref="C144:I144" si="78">IF(C143=0.2, C141/100+0.5,C141/100+0.3)</f>
        <v>1.1000000000000001</v>
      </c>
      <c r="D144" s="215">
        <f t="shared" si="78"/>
        <v>1.1300000000000001</v>
      </c>
      <c r="E144" s="215">
        <f t="shared" si="78"/>
        <v>1.1615000000000002</v>
      </c>
      <c r="F144" s="215">
        <f t="shared" si="78"/>
        <v>1.1945749999999999</v>
      </c>
      <c r="G144" s="215">
        <f t="shared" si="78"/>
        <v>1.2293037500000001</v>
      </c>
      <c r="H144" s="215">
        <f t="shared" si="78"/>
        <v>1.2657689375000003</v>
      </c>
      <c r="I144" s="215">
        <f t="shared" si="78"/>
        <v>1.3040573843750003</v>
      </c>
      <c r="J144" s="118"/>
      <c r="K144" s="128"/>
    </row>
    <row r="145" spans="1:12" ht="15" customHeight="1">
      <c r="A145" s="333" t="s">
        <v>126</v>
      </c>
      <c r="B145" s="334">
        <f>IF(B144&gt;1.3, 1.3, B144)</f>
        <v>1.0714285714285716</v>
      </c>
      <c r="C145" s="334">
        <f t="shared" ref="C145:I145" si="79">IF(C144&gt;1.3, 1.3, C144)</f>
        <v>1.1000000000000001</v>
      </c>
      <c r="D145" s="334">
        <f t="shared" si="79"/>
        <v>1.1300000000000001</v>
      </c>
      <c r="E145" s="334">
        <f t="shared" si="79"/>
        <v>1.1615000000000002</v>
      </c>
      <c r="F145" s="334">
        <f t="shared" si="79"/>
        <v>1.1945749999999999</v>
      </c>
      <c r="G145" s="334">
        <f t="shared" si="79"/>
        <v>1.2293037500000001</v>
      </c>
      <c r="H145" s="334">
        <f t="shared" si="79"/>
        <v>1.2657689375000003</v>
      </c>
      <c r="I145" s="334">
        <f t="shared" si="79"/>
        <v>1.3</v>
      </c>
      <c r="J145" s="118"/>
      <c r="K145" s="128"/>
    </row>
    <row r="146" spans="1:12" ht="15" customHeight="1">
      <c r="A146" s="326" t="s">
        <v>40</v>
      </c>
      <c r="B146" s="327" t="s">
        <v>292</v>
      </c>
      <c r="C146" s="327" t="s">
        <v>293</v>
      </c>
      <c r="D146" s="327" t="s">
        <v>294</v>
      </c>
      <c r="E146" s="327" t="s">
        <v>295</v>
      </c>
      <c r="F146" s="327" t="s">
        <v>296</v>
      </c>
      <c r="G146" s="327" t="s">
        <v>297</v>
      </c>
      <c r="H146" s="327" t="s">
        <v>298</v>
      </c>
      <c r="I146" s="328" t="s">
        <v>299</v>
      </c>
      <c r="J146" s="118"/>
      <c r="K146" s="128"/>
    </row>
    <row r="147" spans="1:12" ht="15" customHeight="1">
      <c r="A147" s="317" t="s">
        <v>41</v>
      </c>
      <c r="B147" s="166">
        <f>((B92*B119)+(B93*B121))/B128</f>
        <v>12023.895333153354</v>
      </c>
      <c r="C147" s="166">
        <f t="shared" ref="C147:I147" si="80">((C92*C119)+(C93*C121))/C128</f>
        <v>21421.254920531406</v>
      </c>
      <c r="D147" s="166">
        <f t="shared" si="80"/>
        <v>29990.434091113424</v>
      </c>
      <c r="E147" s="166">
        <f t="shared" si="80"/>
        <v>38052.213604442244</v>
      </c>
      <c r="F147" s="166">
        <f t="shared" si="80"/>
        <v>41751.932614684294</v>
      </c>
      <c r="G147" s="166">
        <f t="shared" si="80"/>
        <v>47556.345238548383</v>
      </c>
      <c r="H147" s="166">
        <f t="shared" si="80"/>
        <v>52763.565256214046</v>
      </c>
      <c r="I147" s="322">
        <f t="shared" si="80"/>
        <v>57715.816828441559</v>
      </c>
      <c r="J147" s="118"/>
      <c r="K147" s="128"/>
    </row>
    <row r="148" spans="1:12" ht="15" customHeight="1">
      <c r="A148" s="318" t="s">
        <v>142</v>
      </c>
      <c r="B148" s="53">
        <f>((B92*B118)+(B93*B120))/B129</f>
        <v>2368.3782706994598</v>
      </c>
      <c r="C148" s="53">
        <f t="shared" ref="C148:I148" si="81">((C92*C118)+(C93*C120))/C129</f>
        <v>4842.5671605160942</v>
      </c>
      <c r="D148" s="53">
        <f t="shared" si="81"/>
        <v>7306.6044092032489</v>
      </c>
      <c r="E148" s="53">
        <f t="shared" si="81"/>
        <v>9826.629336292719</v>
      </c>
      <c r="F148" s="53">
        <f t="shared" si="81"/>
        <v>16214.947336704085</v>
      </c>
      <c r="G148" s="53">
        <f t="shared" si="81"/>
        <v>19402.673848143153</v>
      </c>
      <c r="H148" s="53">
        <f t="shared" si="81"/>
        <v>22570.181930432507</v>
      </c>
      <c r="I148" s="323">
        <f t="shared" si="81"/>
        <v>25854.876339766444</v>
      </c>
      <c r="J148" s="121"/>
      <c r="K148" s="128"/>
    </row>
    <row r="149" spans="1:12" ht="15" customHeight="1">
      <c r="A149" s="318" t="s">
        <v>42</v>
      </c>
      <c r="B149" s="53">
        <f>((B130*B95)/B139)+(B131*B95/B145)</f>
        <v>42615.649531249219</v>
      </c>
      <c r="C149" s="53">
        <f t="shared" ref="C149:I149" si="82">((C130*C95)/C139)+(C131*C95/C145)</f>
        <v>51010.603929299104</v>
      </c>
      <c r="D149" s="53">
        <f t="shared" si="82"/>
        <v>58459.458258858722</v>
      </c>
      <c r="E149" s="53">
        <f t="shared" si="82"/>
        <v>65769.479392061097</v>
      </c>
      <c r="F149" s="53">
        <f t="shared" si="82"/>
        <v>68216.977766457843</v>
      </c>
      <c r="G149" s="53">
        <f t="shared" si="82"/>
        <v>73550.318040982354</v>
      </c>
      <c r="H149" s="53">
        <f t="shared" si="82"/>
        <v>78454.977125721081</v>
      </c>
      <c r="I149" s="323">
        <f t="shared" si="82"/>
        <v>83476.392044142209</v>
      </c>
      <c r="J149" s="118"/>
      <c r="K149" s="180"/>
      <c r="L149" s="67"/>
    </row>
    <row r="150" spans="1:12" ht="15" customHeight="1">
      <c r="A150" s="318" t="s">
        <v>43</v>
      </c>
      <c r="B150" s="53">
        <f>((B96*B123))/B128</f>
        <v>411.65838929448847</v>
      </c>
      <c r="C150" s="53">
        <f t="shared" ref="C150:I150" si="83">((C96*C123))/C128</f>
        <v>629.15561988670754</v>
      </c>
      <c r="D150" s="53">
        <f t="shared" si="83"/>
        <v>1577.3459142955153</v>
      </c>
      <c r="E150" s="53">
        <f t="shared" si="83"/>
        <v>1909.9825468958934</v>
      </c>
      <c r="F150" s="53">
        <f t="shared" si="83"/>
        <v>2206.0438049491586</v>
      </c>
      <c r="G150" s="53">
        <f t="shared" si="83"/>
        <v>2475.2209722622601</v>
      </c>
      <c r="H150" s="53">
        <f t="shared" si="83"/>
        <v>2716.0976644458369</v>
      </c>
      <c r="I150" s="323">
        <f t="shared" si="83"/>
        <v>2946.031292501601</v>
      </c>
      <c r="J150" s="68"/>
      <c r="K150" s="179"/>
      <c r="L150" s="67"/>
    </row>
    <row r="151" spans="1:12" ht="15" customHeight="1">
      <c r="A151" s="318" t="s">
        <v>143</v>
      </c>
      <c r="B151" s="53">
        <f>((B96*B122))/B129</f>
        <v>0</v>
      </c>
      <c r="C151" s="53">
        <f t="shared" ref="C151:I151" si="84">((C96*C122))/C129</f>
        <v>0</v>
      </c>
      <c r="D151" s="53">
        <f t="shared" si="84"/>
        <v>0</v>
      </c>
      <c r="E151" s="53">
        <f t="shared" si="84"/>
        <v>0</v>
      </c>
      <c r="F151" s="53">
        <f t="shared" si="84"/>
        <v>0</v>
      </c>
      <c r="G151" s="53">
        <f t="shared" si="84"/>
        <v>0</v>
      </c>
      <c r="H151" s="53">
        <f t="shared" si="84"/>
        <v>0</v>
      </c>
      <c r="I151" s="323">
        <f t="shared" si="84"/>
        <v>0</v>
      </c>
      <c r="J151" s="68"/>
      <c r="K151" s="179"/>
      <c r="L151" s="67"/>
    </row>
    <row r="152" spans="1:12" ht="15" customHeight="1">
      <c r="A152" s="318" t="s">
        <v>44</v>
      </c>
      <c r="B152" s="53">
        <f>((B132*B97)/B139)+(B133*B97/B145)</f>
        <v>1646.9682387952666</v>
      </c>
      <c r="C152" s="53">
        <f t="shared" ref="C152:I152" si="85">((C132*C97)/C139)+(C133*C97/C145)</f>
        <v>2555.9447057897492</v>
      </c>
      <c r="D152" s="53">
        <f t="shared" si="85"/>
        <v>6505.211339694225</v>
      </c>
      <c r="E152" s="53">
        <f t="shared" si="85"/>
        <v>7994.5955494820964</v>
      </c>
      <c r="F152" s="53">
        <f t="shared" si="85"/>
        <v>8157.2584390455086</v>
      </c>
      <c r="G152" s="53">
        <f t="shared" si="85"/>
        <v>9280.2511716929221</v>
      </c>
      <c r="H152" s="53">
        <f t="shared" si="85"/>
        <v>10322.590059510077</v>
      </c>
      <c r="I152" s="323">
        <f t="shared" si="85"/>
        <v>11358.771394383901</v>
      </c>
      <c r="J152" s="68"/>
      <c r="K152" s="179"/>
      <c r="L152" s="67"/>
    </row>
    <row r="153" spans="1:12" ht="15" customHeight="1">
      <c r="A153" s="318" t="s">
        <v>204</v>
      </c>
      <c r="B153" s="53">
        <f>B147+B150</f>
        <v>12435.553722447843</v>
      </c>
      <c r="C153" s="53">
        <f t="shared" ref="C153:I155" si="86">C147+C150</f>
        <v>22050.410540418114</v>
      </c>
      <c r="D153" s="53">
        <f t="shared" si="86"/>
        <v>31567.780005408938</v>
      </c>
      <c r="E153" s="53">
        <f t="shared" si="86"/>
        <v>39962.196151338139</v>
      </c>
      <c r="F153" s="53">
        <f t="shared" si="86"/>
        <v>43957.976419633451</v>
      </c>
      <c r="G153" s="53">
        <f t="shared" si="86"/>
        <v>50031.566210810641</v>
      </c>
      <c r="H153" s="53">
        <f t="shared" si="86"/>
        <v>55479.662920659881</v>
      </c>
      <c r="I153" s="323">
        <f t="shared" si="86"/>
        <v>60661.848120943163</v>
      </c>
      <c r="J153" s="68"/>
      <c r="K153" s="179"/>
      <c r="L153" s="68"/>
    </row>
    <row r="154" spans="1:12" ht="15" customHeight="1">
      <c r="A154" s="318" t="s">
        <v>206</v>
      </c>
      <c r="B154" s="53">
        <f>B148+B151</f>
        <v>2368.3782706994598</v>
      </c>
      <c r="C154" s="53">
        <f t="shared" si="86"/>
        <v>4842.5671605160942</v>
      </c>
      <c r="D154" s="53">
        <f t="shared" si="86"/>
        <v>7306.6044092032489</v>
      </c>
      <c r="E154" s="53">
        <f t="shared" si="86"/>
        <v>9826.629336292719</v>
      </c>
      <c r="F154" s="53">
        <f t="shared" si="86"/>
        <v>16214.947336704085</v>
      </c>
      <c r="G154" s="53">
        <f t="shared" si="86"/>
        <v>19402.673848143153</v>
      </c>
      <c r="H154" s="53">
        <f t="shared" si="86"/>
        <v>22570.181930432507</v>
      </c>
      <c r="I154" s="323">
        <f t="shared" si="86"/>
        <v>25854.876339766444</v>
      </c>
      <c r="J154" s="68"/>
      <c r="K154" s="128"/>
      <c r="L154" s="68"/>
    </row>
    <row r="155" spans="1:12" ht="15" customHeight="1">
      <c r="A155" s="318" t="s">
        <v>205</v>
      </c>
      <c r="B155" s="53">
        <f>B149+B152</f>
        <v>44262.617770044482</v>
      </c>
      <c r="C155" s="53">
        <f t="shared" si="86"/>
        <v>53566.548635088853</v>
      </c>
      <c r="D155" s="53">
        <f t="shared" si="86"/>
        <v>64964.669598552944</v>
      </c>
      <c r="E155" s="53">
        <f t="shared" si="86"/>
        <v>73764.074941543193</v>
      </c>
      <c r="F155" s="53">
        <f t="shared" si="86"/>
        <v>76374.236205503345</v>
      </c>
      <c r="G155" s="53">
        <f t="shared" si="86"/>
        <v>82830.569212675269</v>
      </c>
      <c r="H155" s="53">
        <f t="shared" si="86"/>
        <v>88777.567185231164</v>
      </c>
      <c r="I155" s="323">
        <f t="shared" si="86"/>
        <v>94835.163438526113</v>
      </c>
      <c r="J155" s="68"/>
      <c r="K155" s="179"/>
      <c r="L155" s="68"/>
    </row>
    <row r="156" spans="1:12" ht="15" customHeight="1">
      <c r="A156" s="318" t="s">
        <v>229</v>
      </c>
      <c r="B156" s="168">
        <f t="shared" ref="B156:I156" si="87">SUM(B153:B155)/(B8+B9)</f>
        <v>3.0792300480148541E-2</v>
      </c>
      <c r="C156" s="168">
        <f t="shared" si="87"/>
        <v>4.1028289882053808E-2</v>
      </c>
      <c r="D156" s="168">
        <f t="shared" si="87"/>
        <v>5.3199752023120897E-2</v>
      </c>
      <c r="E156" s="168">
        <f t="shared" si="87"/>
        <v>6.341546374768052E-2</v>
      </c>
      <c r="F156" s="168">
        <f t="shared" si="87"/>
        <v>7.0391584389662323E-2</v>
      </c>
      <c r="G156" s="168">
        <f t="shared" si="87"/>
        <v>7.8717776223499028E-2</v>
      </c>
      <c r="H156" s="168">
        <f t="shared" si="87"/>
        <v>8.6499580233182369E-2</v>
      </c>
      <c r="I156" s="324">
        <f t="shared" si="87"/>
        <v>9.381088002563337E-2</v>
      </c>
      <c r="J156" s="68"/>
      <c r="K156" s="128"/>
      <c r="L156" s="68"/>
    </row>
    <row r="157" spans="1:12" ht="15" customHeight="1">
      <c r="A157" s="319" t="s">
        <v>45</v>
      </c>
      <c r="B157" s="55">
        <f t="shared" ref="B157:I157" si="88">B18/B128</f>
        <v>13606.900094473634</v>
      </c>
      <c r="C157" s="55">
        <f t="shared" si="88"/>
        <v>26737.744893326315</v>
      </c>
      <c r="D157" s="55">
        <f t="shared" si="88"/>
        <v>38349.55171869749</v>
      </c>
      <c r="E157" s="55">
        <f t="shared" si="88"/>
        <v>49016.674226233947</v>
      </c>
      <c r="F157" s="55">
        <f t="shared" si="88"/>
        <v>58566.845251922859</v>
      </c>
      <c r="G157" s="55">
        <f t="shared" si="88"/>
        <v>67259.247201746926</v>
      </c>
      <c r="H157" s="55">
        <f t="shared" si="88"/>
        <v>75066.21317706423</v>
      </c>
      <c r="I157" s="125">
        <f t="shared" si="88"/>
        <v>82478.424942789643</v>
      </c>
      <c r="J157" s="68"/>
      <c r="K157" s="179"/>
      <c r="L157" s="68"/>
    </row>
    <row r="158" spans="1:12" ht="15" customHeight="1">
      <c r="A158" s="319" t="s">
        <v>228</v>
      </c>
      <c r="B158" s="55">
        <f t="shared" ref="B158:I158" si="89">(B19+B21)/((B139+B145)/2)</f>
        <v>60778.122846696147</v>
      </c>
      <c r="C158" s="55">
        <f t="shared" si="89"/>
        <v>74995.770659473681</v>
      </c>
      <c r="D158" s="55">
        <f t="shared" si="89"/>
        <v>86707.340620089861</v>
      </c>
      <c r="E158" s="55">
        <f t="shared" si="89"/>
        <v>97862.151708334713</v>
      </c>
      <c r="F158" s="55">
        <f t="shared" si="89"/>
        <v>107982.3284279199</v>
      </c>
      <c r="G158" s="55">
        <f t="shared" si="89"/>
        <v>117486.37276956798</v>
      </c>
      <c r="H158" s="55">
        <f t="shared" si="89"/>
        <v>126231.76779009012</v>
      </c>
      <c r="I158" s="125">
        <f t="shared" si="89"/>
        <v>135229.66643473841</v>
      </c>
      <c r="J158" s="68"/>
      <c r="K158" s="184"/>
      <c r="L158" s="68"/>
    </row>
    <row r="159" spans="1:12" ht="15" customHeight="1">
      <c r="A159" s="320" t="s">
        <v>144</v>
      </c>
      <c r="B159" s="56">
        <v>2942.7530006208181</v>
      </c>
      <c r="C159" s="56">
        <v>6214.9214183552713</v>
      </c>
      <c r="D159" s="56">
        <v>10625.561413614027</v>
      </c>
      <c r="E159" s="56">
        <v>15422.188286359504</v>
      </c>
      <c r="F159" s="56">
        <v>21638.535191738352</v>
      </c>
      <c r="G159" s="56">
        <v>27766.479055047454</v>
      </c>
      <c r="H159" s="56">
        <v>35174.115178757922</v>
      </c>
      <c r="I159" s="313">
        <v>43588.861173271893</v>
      </c>
      <c r="J159" s="68"/>
      <c r="K159" s="184"/>
      <c r="L159" s="67"/>
    </row>
    <row r="160" spans="1:12" ht="15" customHeight="1">
      <c r="A160" s="320" t="s">
        <v>46</v>
      </c>
      <c r="B160" s="56">
        <v>13872.978431498137</v>
      </c>
      <c r="C160" s="56">
        <v>27250.040065096186</v>
      </c>
      <c r="D160" s="56">
        <v>37672.445011904281</v>
      </c>
      <c r="E160" s="56">
        <v>46266.564859078513</v>
      </c>
      <c r="F160" s="56">
        <v>52550.728322793148</v>
      </c>
      <c r="G160" s="56">
        <v>59499.5979751017</v>
      </c>
      <c r="H160" s="56">
        <v>64230.992935123162</v>
      </c>
      <c r="I160" s="313">
        <v>65383.291759907828</v>
      </c>
      <c r="J160" s="68"/>
      <c r="K160" s="184"/>
      <c r="L160" s="67"/>
    </row>
    <row r="161" spans="1:12" ht="15" customHeight="1">
      <c r="A161" s="320" t="s">
        <v>47</v>
      </c>
      <c r="B161" s="56">
        <v>61259.290151869347</v>
      </c>
      <c r="C161" s="56">
        <v>75263.168617092844</v>
      </c>
      <c r="D161" s="56">
        <v>89095.473277622048</v>
      </c>
      <c r="E161" s="56">
        <v>101895.99722970306</v>
      </c>
      <c r="F161" s="56">
        <v>116390.81417475773</v>
      </c>
      <c r="G161" s="56">
        <v>131157.96439654613</v>
      </c>
      <c r="H161" s="56">
        <v>146905.85625489202</v>
      </c>
      <c r="I161" s="313">
        <v>161682.84737845772</v>
      </c>
      <c r="J161" s="68"/>
      <c r="K161" s="184"/>
      <c r="L161" s="67"/>
    </row>
    <row r="162" spans="1:12" ht="15" customHeight="1">
      <c r="A162" s="321" t="s">
        <v>48</v>
      </c>
      <c r="B162" s="167">
        <f>SUM(B159:B161)</f>
        <v>78075.021583988302</v>
      </c>
      <c r="C162" s="167">
        <f t="shared" ref="C162:I162" si="90">SUM(C159:C161)</f>
        <v>108728.13010054431</v>
      </c>
      <c r="D162" s="167">
        <f t="shared" si="90"/>
        <v>137393.47970314036</v>
      </c>
      <c r="E162" s="167">
        <f t="shared" si="90"/>
        <v>163584.75037514107</v>
      </c>
      <c r="F162" s="167">
        <f t="shared" si="90"/>
        <v>190580.07768928923</v>
      </c>
      <c r="G162" s="167">
        <f t="shared" si="90"/>
        <v>218424.0414266953</v>
      </c>
      <c r="H162" s="167">
        <f t="shared" si="90"/>
        <v>246310.9643687731</v>
      </c>
      <c r="I162" s="325">
        <f t="shared" si="90"/>
        <v>270655.00031163741</v>
      </c>
      <c r="J162" s="68"/>
      <c r="K162" s="184"/>
      <c r="L162" s="67"/>
    </row>
    <row r="163" spans="1:12" ht="15" customHeight="1">
      <c r="A163" s="314" t="s">
        <v>49</v>
      </c>
      <c r="B163" s="315" t="s">
        <v>292</v>
      </c>
      <c r="C163" s="315" t="s">
        <v>293</v>
      </c>
      <c r="D163" s="315" t="s">
        <v>294</v>
      </c>
      <c r="E163" s="315" t="s">
        <v>295</v>
      </c>
      <c r="F163" s="315" t="s">
        <v>296</v>
      </c>
      <c r="G163" s="315" t="s">
        <v>297</v>
      </c>
      <c r="H163" s="315" t="s">
        <v>298</v>
      </c>
      <c r="I163" s="316" t="s">
        <v>299</v>
      </c>
      <c r="J163" s="68"/>
      <c r="K163" s="179"/>
      <c r="L163" s="67"/>
    </row>
    <row r="164" spans="1:12" ht="15" customHeight="1">
      <c r="A164" s="24" t="s">
        <v>41</v>
      </c>
      <c r="B164" s="25">
        <f>(B111-(B148*B129*1.3))/B128</f>
        <v>9954.1738593806531</v>
      </c>
      <c r="C164" s="25">
        <f t="shared" ref="C164:I164" si="91">(C111-(C148*C129*1.3))/C128</f>
        <v>21069.193586789032</v>
      </c>
      <c r="D164" s="25">
        <f t="shared" si="91"/>
        <v>34587.152275479246</v>
      </c>
      <c r="E164" s="25">
        <f t="shared" si="91"/>
        <v>50800.058650477484</v>
      </c>
      <c r="F164" s="25">
        <f t="shared" si="91"/>
        <v>55889.832069466283</v>
      </c>
      <c r="G164" s="25">
        <f t="shared" si="91"/>
        <v>63669.180409533918</v>
      </c>
      <c r="H164" s="25">
        <f t="shared" si="91"/>
        <v>70648.295865134729</v>
      </c>
      <c r="I164" s="308">
        <f t="shared" si="91"/>
        <v>77285.468249685407</v>
      </c>
      <c r="J164" s="456"/>
      <c r="K164" s="179"/>
      <c r="L164" s="67"/>
    </row>
    <row r="165" spans="1:12" ht="15" customHeight="1">
      <c r="A165" s="24" t="s">
        <v>42</v>
      </c>
      <c r="B165" s="25">
        <f>(B112*B130)/B138+(B131*B112)/B145</f>
        <v>50976.339147185499</v>
      </c>
      <c r="C165" s="25">
        <f t="shared" ref="C165:I165" si="92">(C112*C130)/C138+(C131*C112)/C145</f>
        <v>67053.060373671819</v>
      </c>
      <c r="D165" s="25">
        <f t="shared" si="92"/>
        <v>76844.524120443239</v>
      </c>
      <c r="E165" s="25">
        <f t="shared" si="92"/>
        <v>86453.492660725504</v>
      </c>
      <c r="F165" s="25">
        <f t="shared" si="92"/>
        <v>89670.711113781887</v>
      </c>
      <c r="G165" s="25">
        <f t="shared" si="92"/>
        <v>96681.347332021629</v>
      </c>
      <c r="H165" s="25">
        <f t="shared" si="92"/>
        <v>103128.48530704115</v>
      </c>
      <c r="I165" s="308">
        <f t="shared" si="92"/>
        <v>109729.09795912456</v>
      </c>
      <c r="J165" s="67"/>
      <c r="K165" s="67"/>
      <c r="L165" s="67"/>
    </row>
    <row r="166" spans="1:12" ht="15" customHeight="1">
      <c r="A166" s="24" t="s">
        <v>43</v>
      </c>
      <c r="B166" s="25">
        <f>(B113-(B151*B129*1.3))/B128</f>
        <v>826.25079535858299</v>
      </c>
      <c r="C166" s="25">
        <f t="shared" ref="C166:I166" si="93">(C113-(C151*C129*1.3))/C128</f>
        <v>1262.7954266318511</v>
      </c>
      <c r="D166" s="25">
        <f t="shared" si="93"/>
        <v>2867.7472477648548</v>
      </c>
      <c r="E166" s="25">
        <f t="shared" si="93"/>
        <v>3472.5085616910701</v>
      </c>
      <c r="F166" s="25">
        <f t="shared" si="93"/>
        <v>4010.772775176069</v>
      </c>
      <c r="G166" s="25">
        <f t="shared" si="93"/>
        <v>4500.1594555023394</v>
      </c>
      <c r="H166" s="25">
        <f t="shared" si="93"/>
        <v>4938.0934969828159</v>
      </c>
      <c r="I166" s="308">
        <f t="shared" si="93"/>
        <v>5356.1321295043381</v>
      </c>
      <c r="J166" s="67"/>
      <c r="K166" s="67"/>
      <c r="L166" s="67"/>
    </row>
    <row r="167" spans="1:12" ht="15" customHeight="1">
      <c r="A167" s="24" t="s">
        <v>44</v>
      </c>
      <c r="B167" s="25">
        <f t="shared" ref="B167:I167" si="94">(B114*B132)/B139+(B114*B133)/B145</f>
        <v>3305.6749300484448</v>
      </c>
      <c r="C167" s="25">
        <f t="shared" si="94"/>
        <v>5130.1064206918954</v>
      </c>
      <c r="D167" s="25">
        <f t="shared" si="94"/>
        <v>11827.020152309959</v>
      </c>
      <c r="E167" s="25">
        <f t="shared" si="94"/>
        <v>14534.845639271216</v>
      </c>
      <c r="F167" s="25">
        <f t="shared" si="94"/>
        <v>14830.580423652546</v>
      </c>
      <c r="G167" s="25">
        <f t="shared" si="94"/>
        <v>16872.27545650645</v>
      </c>
      <c r="H167" s="25">
        <f t="shared" si="94"/>
        <v>18767.335030747628</v>
      </c>
      <c r="I167" s="308">
        <f t="shared" si="94"/>
        <v>20651.19965697762</v>
      </c>
      <c r="J167" s="67"/>
      <c r="K167" s="68"/>
      <c r="L167" s="67"/>
    </row>
    <row r="168" spans="1:12" ht="15" customHeight="1">
      <c r="A168" s="24" t="s">
        <v>204</v>
      </c>
      <c r="B168" s="25">
        <f>B164+B166</f>
        <v>10780.424654739236</v>
      </c>
      <c r="C168" s="25">
        <f t="shared" ref="C168:I169" si="95">C164+C166</f>
        <v>22331.989013420884</v>
      </c>
      <c r="D168" s="25">
        <f t="shared" si="95"/>
        <v>37454.899523244101</v>
      </c>
      <c r="E168" s="25">
        <f t="shared" si="95"/>
        <v>54272.567212168557</v>
      </c>
      <c r="F168" s="25">
        <f t="shared" si="95"/>
        <v>59900.604844642352</v>
      </c>
      <c r="G168" s="25">
        <f t="shared" si="95"/>
        <v>68169.339865036251</v>
      </c>
      <c r="H168" s="25">
        <f t="shared" si="95"/>
        <v>75586.389362117538</v>
      </c>
      <c r="I168" s="308">
        <f t="shared" si="95"/>
        <v>82641.600379189738</v>
      </c>
      <c r="J168" s="67"/>
      <c r="K168" s="68"/>
      <c r="L168" s="67"/>
    </row>
    <row r="169" spans="1:12" ht="15" customHeight="1">
      <c r="A169" s="58" t="s">
        <v>205</v>
      </c>
      <c r="B169" s="59">
        <f>B165+B167</f>
        <v>54282.014077233944</v>
      </c>
      <c r="C169" s="59">
        <f t="shared" si="95"/>
        <v>72183.166794363715</v>
      </c>
      <c r="D169" s="59">
        <f t="shared" si="95"/>
        <v>88671.544272753192</v>
      </c>
      <c r="E169" s="25">
        <f t="shared" si="95"/>
        <v>100988.33829999671</v>
      </c>
      <c r="F169" s="25">
        <f t="shared" si="95"/>
        <v>104501.29153743443</v>
      </c>
      <c r="G169" s="25">
        <f t="shared" si="95"/>
        <v>113553.62278852808</v>
      </c>
      <c r="H169" s="25">
        <f t="shared" si="95"/>
        <v>121895.82033778878</v>
      </c>
      <c r="I169" s="308">
        <f t="shared" si="95"/>
        <v>130380.29761610218</v>
      </c>
      <c r="J169" s="68"/>
      <c r="K169" s="68"/>
      <c r="L169" s="67"/>
    </row>
    <row r="170" spans="1:12" s="118" customFormat="1" ht="15" customHeight="1">
      <c r="A170" s="24" t="s">
        <v>230</v>
      </c>
      <c r="B170" s="175">
        <f t="shared" ref="B170:I170" si="96">(SUM(B168:B169))/B4</f>
        <v>2.5438537185237402E-2</v>
      </c>
      <c r="C170" s="175">
        <f t="shared" si="96"/>
        <v>3.6146700589571285E-2</v>
      </c>
      <c r="D170" s="175">
        <f t="shared" si="96"/>
        <v>4.8463670031998106E-2</v>
      </c>
      <c r="E170" s="175">
        <f t="shared" si="96"/>
        <v>5.976757095991584E-2</v>
      </c>
      <c r="F170" s="175">
        <f t="shared" si="96"/>
        <v>6.3563258838009701E-2</v>
      </c>
      <c r="G170" s="175">
        <f t="shared" si="96"/>
        <v>7.046027695399304E-2</v>
      </c>
      <c r="H170" s="175">
        <f t="shared" si="96"/>
        <v>7.6795509955719432E-2</v>
      </c>
      <c r="I170" s="311">
        <f t="shared" si="96"/>
        <v>8.264501109070034E-2</v>
      </c>
      <c r="J170" s="68"/>
      <c r="K170" s="68"/>
      <c r="L170" s="67"/>
    </row>
    <row r="171" spans="1:12">
      <c r="A171" s="173" t="s">
        <v>50</v>
      </c>
      <c r="B171" s="174">
        <f>B30/B128</f>
        <v>11849.587103566977</v>
      </c>
      <c r="C171" s="174">
        <f t="shared" ref="C171:I171" si="97">C30/C128</f>
        <v>27238.589635824093</v>
      </c>
      <c r="D171" s="174">
        <f t="shared" si="97"/>
        <v>44739.053552605321</v>
      </c>
      <c r="E171" s="55">
        <f t="shared" si="97"/>
        <v>64432.054573666115</v>
      </c>
      <c r="F171" s="55">
        <f t="shared" si="97"/>
        <v>76985.683526029898</v>
      </c>
      <c r="G171" s="55">
        <f t="shared" si="97"/>
        <v>88411.781392693301</v>
      </c>
      <c r="H171" s="55">
        <f t="shared" si="97"/>
        <v>98673.98024067597</v>
      </c>
      <c r="I171" s="125">
        <f t="shared" si="97"/>
        <v>108417.27760916991</v>
      </c>
      <c r="J171" s="68"/>
      <c r="K171" s="68"/>
      <c r="L171" s="67"/>
    </row>
    <row r="172" spans="1:12">
      <c r="A172" s="54" t="s">
        <v>51</v>
      </c>
      <c r="B172" s="60">
        <f>(B33+B31)/((B139+B145)/2)</f>
        <v>75437.005557096185</v>
      </c>
      <c r="C172" s="60">
        <f t="shared" ref="C172:I172" si="98">(C33+C31)/((C139+C145)/2)</f>
        <v>101624.17022531117</v>
      </c>
      <c r="D172" s="60">
        <f t="shared" si="98"/>
        <v>117980.280136822</v>
      </c>
      <c r="E172" s="60">
        <f t="shared" si="98"/>
        <v>133554.58344535236</v>
      </c>
      <c r="F172" s="60">
        <f t="shared" si="98"/>
        <v>147696.38191268084</v>
      </c>
      <c r="G172" s="60">
        <f t="shared" si="98"/>
        <v>160977.32024568287</v>
      </c>
      <c r="H172" s="60">
        <f t="shared" si="98"/>
        <v>173203.18779969579</v>
      </c>
      <c r="I172" s="122">
        <f t="shared" si="98"/>
        <v>185763.17517397023</v>
      </c>
      <c r="J172" s="68"/>
      <c r="K172" s="67"/>
      <c r="L172" s="67"/>
    </row>
    <row r="173" spans="1:12" ht="15" customHeight="1">
      <c r="A173" s="57" t="s">
        <v>145</v>
      </c>
      <c r="B173" s="57">
        <v>0</v>
      </c>
      <c r="C173" s="57">
        <v>0</v>
      </c>
      <c r="D173" s="57">
        <v>0</v>
      </c>
      <c r="E173" s="57">
        <v>0</v>
      </c>
      <c r="F173" s="57">
        <v>0</v>
      </c>
      <c r="G173" s="57">
        <v>0</v>
      </c>
      <c r="H173" s="57">
        <v>0</v>
      </c>
      <c r="I173" s="312">
        <v>0</v>
      </c>
      <c r="J173" s="67"/>
      <c r="K173" s="67"/>
      <c r="L173" s="67"/>
    </row>
    <row r="174" spans="1:12" ht="15" customHeight="1">
      <c r="A174" s="57" t="s">
        <v>52</v>
      </c>
      <c r="B174" s="56">
        <v>27745.956862996274</v>
      </c>
      <c r="C174" s="56">
        <v>54500.080130192371</v>
      </c>
      <c r="D174" s="56">
        <v>75344.890023808563</v>
      </c>
      <c r="E174" s="56">
        <v>92533.129718157026</v>
      </c>
      <c r="F174" s="56">
        <v>105101.4566455863</v>
      </c>
      <c r="G174" s="56">
        <v>118999.1959502034</v>
      </c>
      <c r="H174" s="56">
        <v>128461.98587024632</v>
      </c>
      <c r="I174" s="313">
        <v>130766.58351981566</v>
      </c>
      <c r="J174" s="67"/>
      <c r="K174" s="67"/>
    </row>
    <row r="175" spans="1:12" ht="15" customHeight="1">
      <c r="A175" s="169" t="s">
        <v>53</v>
      </c>
      <c r="B175" s="56">
        <v>122518.58030373869</v>
      </c>
      <c r="C175" s="56">
        <v>150526.33723418569</v>
      </c>
      <c r="D175" s="56">
        <v>178190.9465552441</v>
      </c>
      <c r="E175" s="56">
        <v>203791.99445940612</v>
      </c>
      <c r="F175" s="56">
        <v>232781.62834951546</v>
      </c>
      <c r="G175" s="56">
        <v>262315.92879309226</v>
      </c>
      <c r="H175" s="56">
        <v>293811.71250978403</v>
      </c>
      <c r="I175" s="313">
        <v>323365.69475691544</v>
      </c>
      <c r="J175" s="118"/>
    </row>
    <row r="177" spans="1:1">
      <c r="A177" s="171" t="s">
        <v>302</v>
      </c>
    </row>
  </sheetData>
  <dataValidations xWindow="303" yWindow="202" count="10">
    <dataValidation type="list" allowBlank="1" showInputMessage="1" showErrorMessage="1" sqref="B142:I142 B136:I136">
      <formula1>"YES,NO"</formula1>
    </dataValidation>
    <dataValidation allowBlank="1" showInputMessage="1" showErrorMessage="1" prompt="Input for this cell can be found on the &quot;Scenarios&quot; tab" sqref="B140:I140 B134:I134 B130:I130 B120:I120 B124:I124"/>
    <dataValidation allowBlank="1" showInputMessage="1" showErrorMessage="1" promptTitle="IVM ZEV Credits" prompt="IVM (only) MY 2014 ZEV + BEVx credits, found here: http://www.arb.ca.gov/msprog/zevprog/zevcredits/2014zevcredits.htm " sqref="E64"/>
    <dataValidation allowBlank="1" showInputMessage="1" showErrorMessage="1" promptTitle="ZEV Credit % Requirement" prompt="See CCR 1962.2(b)(1)(A), (b)(2)(E), and (b)(3) for annual credit percentage requirements for large and intermediate volume manufacturers." sqref="A14"/>
    <dataValidation allowBlank="1" showInputMessage="1" showErrorMessage="1" promptTitle="GHG-ZEV Over Compliance" prompt="See CCR 1962.2 (g)(6)(C) for more information related to the GHG-ZEV Over Compliance provision, which allows manufacturers to overcomply with GHG fleet standards and have a lessened ZEV requirement for 2018-2021 model years.  " sqref="A35 A38"/>
    <dataValidation allowBlank="1" showInputMessage="1" showErrorMessage="1" promptTitle=" PZEV, AT PZEV and NEV Credits" prompt="See CCR 1962.2 (g)(6)(A) for more information about the cap related to historical PZEV and AT PZEV credits, as well as historical and new NEV credits." sqref="A50 A53"/>
    <dataValidation allowBlank="1" showInputMessage="1" showErrorMessage="1" promptTitle="S177 State Optional Compliance " prompt="See CCR 1962.1 and 1962.2 (d)(5)(E) for details regarding requirements and rules for the S177 States Optional Compliance Path." sqref="A24"/>
    <dataValidation allowBlank="1" showInputMessage="1" showErrorMessage="1" prompt="See &quot;Sales-Mkt Shares Reference&quot; tab for data sources for cells A1-J12." sqref="A2"/>
    <dataValidation allowBlank="1" showInputMessage="1" showErrorMessage="1" promptTitle="Travel Provision Accounting" prompt="See CCR 1962.2 (e)(5)(D) for how the travel provision works for FCEVs.  For the purposes of this calculator, FCEVs are assumed to be placed in CA, and to travel to the S177 state for complaince, and credits are taken into account in this final number.  " sqref="A164"/>
    <dataValidation type="list" allowBlank="1" showInputMessage="1" showErrorMessage="1" sqref="D64:D65 G64 D74:D75 G74">
      <formula1>$L$61:$L$66</formula1>
    </dataValidation>
  </dataValidations>
  <printOptions headings="1"/>
  <pageMargins left="0.25" right="0.25" top="0.5" bottom="0.25" header="0.3" footer="0.3"/>
  <pageSetup scale="91" fitToWidth="2" fitToHeight="4" pageOrder="overThenDown" orientation="landscape" r:id="rId1"/>
  <drawing r:id="rId2"/>
  <tableParts count="21">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68"/>
  <sheetViews>
    <sheetView workbookViewId="0">
      <selection activeCell="A68" sqref="A68:C68"/>
    </sheetView>
  </sheetViews>
  <sheetFormatPr defaultRowHeight="15"/>
  <cols>
    <col min="1" max="1" width="24.28515625" customWidth="1"/>
    <col min="2" max="2" width="17.85546875" customWidth="1"/>
    <col min="3" max="3" width="28.5703125" customWidth="1"/>
    <col min="4" max="5" width="14.140625" customWidth="1"/>
    <col min="6" max="6" width="22.28515625" customWidth="1"/>
    <col min="7" max="7" width="14.140625" customWidth="1"/>
    <col min="8" max="14" width="16.28515625" bestFit="1" customWidth="1"/>
  </cols>
  <sheetData>
    <row r="1" spans="1:14" s="118" customFormat="1" ht="95.25" customHeight="1"/>
    <row r="2" spans="1:14">
      <c r="A2" s="109" t="s">
        <v>73</v>
      </c>
    </row>
    <row r="3" spans="1:14">
      <c r="A3" s="445" t="s">
        <v>74</v>
      </c>
    </row>
    <row r="4" spans="1:14">
      <c r="A4" t="s">
        <v>300</v>
      </c>
      <c r="B4" t="s">
        <v>313</v>
      </c>
      <c r="C4" t="s">
        <v>314</v>
      </c>
      <c r="D4" t="s">
        <v>315</v>
      </c>
      <c r="E4" t="s">
        <v>316</v>
      </c>
      <c r="F4" t="s">
        <v>292</v>
      </c>
      <c r="G4" t="s">
        <v>293</v>
      </c>
      <c r="H4" t="s">
        <v>294</v>
      </c>
      <c r="I4" t="s">
        <v>295</v>
      </c>
      <c r="J4" t="s">
        <v>296</v>
      </c>
      <c r="K4" t="s">
        <v>297</v>
      </c>
      <c r="L4" t="s">
        <v>298</v>
      </c>
      <c r="M4" t="s">
        <v>299</v>
      </c>
      <c r="N4" t="s">
        <v>306</v>
      </c>
    </row>
    <row r="5" spans="1:14">
      <c r="A5" t="s">
        <v>76</v>
      </c>
      <c r="B5" s="444">
        <v>15237.753906</v>
      </c>
      <c r="C5" s="444">
        <v>16397.998047000001</v>
      </c>
      <c r="D5" s="444">
        <v>16319.864258</v>
      </c>
      <c r="E5" s="444">
        <v>16308.996094</v>
      </c>
      <c r="F5" s="444">
        <v>16167.915039</v>
      </c>
      <c r="G5" s="444">
        <v>16230.806640999999</v>
      </c>
      <c r="H5" s="444">
        <v>16096.833984000001</v>
      </c>
      <c r="I5" s="444">
        <v>16030.181640999999</v>
      </c>
      <c r="J5" s="444">
        <v>16089.233398</v>
      </c>
      <c r="K5" s="444">
        <v>16209.704102</v>
      </c>
      <c r="L5" s="444">
        <v>16428.921875</v>
      </c>
      <c r="M5" s="444">
        <v>16561.958984000001</v>
      </c>
      <c r="N5" s="220">
        <v>0</v>
      </c>
    </row>
    <row r="6" spans="1:14">
      <c r="A6" t="s">
        <v>75</v>
      </c>
      <c r="B6" s="176">
        <v>0</v>
      </c>
      <c r="C6" s="176">
        <v>0</v>
      </c>
      <c r="D6" s="176">
        <v>0</v>
      </c>
      <c r="E6" s="176">
        <v>0</v>
      </c>
      <c r="F6" s="219">
        <f>AVERAGE(B5:D5)*1000</f>
        <v>15985205.403666668</v>
      </c>
      <c r="G6" s="219">
        <f>AVERAGE(C5:E5)*1000</f>
        <v>16342286.133000001</v>
      </c>
      <c r="H6" s="219">
        <f t="shared" ref="H6:N6" si="0">AVERAGE(D5:F5)*1000</f>
        <v>16265591.797</v>
      </c>
      <c r="I6" s="219">
        <f t="shared" si="0"/>
        <v>16235905.924666667</v>
      </c>
      <c r="J6" s="219">
        <f t="shared" si="0"/>
        <v>16165185.221333332</v>
      </c>
      <c r="K6" s="219">
        <f t="shared" si="0"/>
        <v>16119274.088666666</v>
      </c>
      <c r="L6" s="219">
        <f t="shared" si="0"/>
        <v>16072083.007666666</v>
      </c>
      <c r="M6" s="219">
        <f t="shared" si="0"/>
        <v>16109706.380333334</v>
      </c>
      <c r="N6" s="219">
        <f t="shared" si="0"/>
        <v>16242619.791666666</v>
      </c>
    </row>
    <row r="7" spans="1:14" s="118" customFormat="1"/>
    <row r="8" spans="1:14" s="118" customFormat="1">
      <c r="A8" s="109" t="s">
        <v>154</v>
      </c>
    </row>
    <row r="9" spans="1:14" s="118" customFormat="1">
      <c r="A9" s="61" t="s">
        <v>150</v>
      </c>
    </row>
    <row r="10" spans="1:14" s="118" customFormat="1">
      <c r="A10" s="61" t="s">
        <v>151</v>
      </c>
    </row>
    <row r="11" spans="1:14" s="118" customFormat="1">
      <c r="A11" s="61" t="s">
        <v>152</v>
      </c>
    </row>
    <row r="12" spans="1:14" s="118" customFormat="1">
      <c r="A12" s="61" t="s">
        <v>153</v>
      </c>
    </row>
    <row r="14" spans="1:14">
      <c r="A14" s="109" t="s">
        <v>81</v>
      </c>
    </row>
    <row r="15" spans="1:14">
      <c r="A15" s="445" t="s">
        <v>84</v>
      </c>
    </row>
    <row r="17" spans="1:11">
      <c r="A17" t="s">
        <v>85</v>
      </c>
    </row>
    <row r="18" spans="1:11">
      <c r="A18" s="445" t="s">
        <v>86</v>
      </c>
    </row>
    <row r="19" spans="1:11">
      <c r="A19" s="445" t="s">
        <v>87</v>
      </c>
    </row>
    <row r="20" spans="1:11">
      <c r="A20" s="445" t="s">
        <v>88</v>
      </c>
    </row>
    <row r="21" spans="1:11">
      <c r="A21" s="109" t="s">
        <v>136</v>
      </c>
    </row>
    <row r="22" spans="1:11">
      <c r="A22" s="109" t="s">
        <v>320</v>
      </c>
      <c r="B22" s="109" t="s">
        <v>82</v>
      </c>
      <c r="C22" s="109" t="s">
        <v>130</v>
      </c>
      <c r="D22" s="109" t="s">
        <v>131</v>
      </c>
      <c r="E22" s="109" t="s">
        <v>132</v>
      </c>
      <c r="F22" s="109" t="s">
        <v>133</v>
      </c>
    </row>
    <row r="23" spans="1:11">
      <c r="A23" s="118" t="s">
        <v>103</v>
      </c>
      <c r="B23" s="121">
        <v>84541</v>
      </c>
      <c r="C23" s="121">
        <v>29609</v>
      </c>
      <c r="D23" s="121">
        <v>42110</v>
      </c>
      <c r="E23" s="121">
        <v>4307</v>
      </c>
      <c r="F23" s="121">
        <v>76026</v>
      </c>
    </row>
    <row r="24" spans="1:11">
      <c r="A24" s="118" t="s">
        <v>90</v>
      </c>
      <c r="B24" s="121">
        <v>152064</v>
      </c>
      <c r="C24" s="121">
        <v>127113</v>
      </c>
      <c r="D24" s="121">
        <v>66060</v>
      </c>
      <c r="E24" s="121">
        <v>17268</v>
      </c>
      <c r="F24" s="121">
        <v>210441</v>
      </c>
    </row>
    <row r="25" spans="1:11">
      <c r="A25" s="118" t="s">
        <v>91</v>
      </c>
      <c r="B25" s="121">
        <v>209068</v>
      </c>
      <c r="C25" s="121">
        <v>106355</v>
      </c>
      <c r="D25" s="121">
        <v>71720</v>
      </c>
      <c r="E25" s="121">
        <v>20626</v>
      </c>
      <c r="F25" s="121">
        <v>198701</v>
      </c>
    </row>
    <row r="26" spans="1:11">
      <c r="A26" s="118" t="s">
        <v>92</v>
      </c>
      <c r="B26" s="121">
        <v>44522</v>
      </c>
      <c r="C26" s="121">
        <v>37623</v>
      </c>
      <c r="D26" s="121">
        <v>17242</v>
      </c>
      <c r="E26" s="121">
        <v>11960</v>
      </c>
      <c r="F26" s="121">
        <v>66825</v>
      </c>
    </row>
    <row r="27" spans="1:11">
      <c r="A27" s="118" t="s">
        <v>93</v>
      </c>
      <c r="B27" s="121">
        <v>199563</v>
      </c>
      <c r="C27" s="121">
        <v>137820</v>
      </c>
      <c r="D27" s="121">
        <v>67773</v>
      </c>
      <c r="E27" s="121">
        <v>16233</v>
      </c>
      <c r="F27" s="121">
        <v>221826</v>
      </c>
    </row>
    <row r="28" spans="1:11">
      <c r="A28" s="118" t="s">
        <v>94</v>
      </c>
      <c r="B28" s="121">
        <v>224735</v>
      </c>
      <c r="C28" s="121">
        <v>114359</v>
      </c>
      <c r="D28" s="121">
        <v>82487</v>
      </c>
      <c r="E28" s="121">
        <v>12632</v>
      </c>
      <c r="F28" s="121">
        <v>209478</v>
      </c>
      <c r="H28" s="128"/>
      <c r="I28" s="128"/>
      <c r="J28" s="128"/>
      <c r="K28" s="128"/>
    </row>
    <row r="29" spans="1:11">
      <c r="A29" s="118" t="s">
        <v>95</v>
      </c>
      <c r="B29" s="121">
        <v>61396</v>
      </c>
      <c r="C29" s="121">
        <v>30779</v>
      </c>
      <c r="D29" s="121">
        <v>26046</v>
      </c>
      <c r="E29" s="121">
        <v>4840</v>
      </c>
      <c r="F29" s="121">
        <v>61665</v>
      </c>
      <c r="H29" s="128"/>
      <c r="I29" s="128"/>
      <c r="J29" s="128"/>
      <c r="K29" s="128"/>
    </row>
    <row r="30" spans="1:11">
      <c r="A30" s="118" t="s">
        <v>96</v>
      </c>
      <c r="B30" s="121">
        <v>11512</v>
      </c>
      <c r="C30" s="121">
        <v>4981</v>
      </c>
      <c r="D30" s="121">
        <v>5117</v>
      </c>
      <c r="E30" s="121">
        <v>0</v>
      </c>
      <c r="F30" s="121">
        <v>10098</v>
      </c>
      <c r="H30" s="128"/>
      <c r="I30" s="128"/>
      <c r="J30" s="128"/>
      <c r="K30" s="128"/>
    </row>
    <row r="31" spans="1:11">
      <c r="A31" s="118" t="s">
        <v>97</v>
      </c>
      <c r="B31" s="121">
        <v>58412</v>
      </c>
      <c r="C31" s="121">
        <v>24897</v>
      </c>
      <c r="D31" s="121">
        <v>17491</v>
      </c>
      <c r="E31" s="121">
        <v>5994</v>
      </c>
      <c r="F31" s="121">
        <v>48382</v>
      </c>
      <c r="H31" s="128"/>
      <c r="I31" s="128"/>
      <c r="J31" s="128"/>
      <c r="K31" s="128"/>
    </row>
    <row r="32" spans="1:11" ht="15" customHeight="1">
      <c r="A32" s="118" t="s">
        <v>98</v>
      </c>
      <c r="B32" s="121">
        <v>42583</v>
      </c>
      <c r="C32" s="121">
        <v>16057</v>
      </c>
      <c r="D32" s="121">
        <v>14004</v>
      </c>
      <c r="E32" s="121">
        <v>4489</v>
      </c>
      <c r="F32" s="121">
        <v>34550</v>
      </c>
      <c r="H32" s="436"/>
      <c r="I32" s="436"/>
      <c r="J32" s="436"/>
      <c r="K32" s="436"/>
    </row>
    <row r="33" spans="1:11">
      <c r="A33" s="118" t="s">
        <v>99</v>
      </c>
      <c r="B33" s="121">
        <v>84555</v>
      </c>
      <c r="C33" s="121">
        <v>36377</v>
      </c>
      <c r="D33" s="121">
        <v>28845</v>
      </c>
      <c r="E33" s="121">
        <v>3733</v>
      </c>
      <c r="F33" s="121">
        <v>68955</v>
      </c>
      <c r="H33" s="436"/>
      <c r="I33" s="436"/>
      <c r="J33" s="436"/>
      <c r="K33" s="436"/>
    </row>
    <row r="34" spans="1:11" ht="15" customHeight="1">
      <c r="A34" s="130" t="s">
        <v>108</v>
      </c>
      <c r="B34" s="437">
        <v>4500</v>
      </c>
      <c r="C34" s="437">
        <v>0</v>
      </c>
      <c r="D34" s="437">
        <v>0</v>
      </c>
      <c r="E34" s="437">
        <v>0</v>
      </c>
      <c r="F34" s="437">
        <v>4500</v>
      </c>
      <c r="H34" s="436"/>
      <c r="I34" s="436"/>
      <c r="J34" s="436"/>
      <c r="K34" s="436"/>
    </row>
    <row r="35" spans="1:11">
      <c r="A35" s="130" t="s">
        <v>100</v>
      </c>
      <c r="B35" s="437">
        <v>146504</v>
      </c>
      <c r="C35" s="437">
        <v>84273</v>
      </c>
      <c r="D35" s="437">
        <v>55589</v>
      </c>
      <c r="E35" s="437">
        <v>6234</v>
      </c>
      <c r="F35" s="437">
        <v>146096</v>
      </c>
      <c r="H35" s="436"/>
      <c r="I35" s="436"/>
      <c r="J35" s="436"/>
      <c r="K35" s="436"/>
    </row>
    <row r="36" spans="1:11" s="118" customFormat="1" ht="15" customHeight="1">
      <c r="A36" s="130" t="s">
        <v>141</v>
      </c>
      <c r="B36" s="437">
        <v>4500</v>
      </c>
      <c r="C36" s="437"/>
      <c r="D36" s="437"/>
      <c r="E36" s="437"/>
      <c r="F36" s="437">
        <v>4500</v>
      </c>
      <c r="H36" s="436"/>
      <c r="I36" s="436"/>
      <c r="J36" s="436"/>
      <c r="K36" s="436"/>
    </row>
    <row r="37" spans="1:11">
      <c r="A37" s="130" t="s">
        <v>101</v>
      </c>
      <c r="B37" s="437">
        <v>358614</v>
      </c>
      <c r="C37" s="437">
        <v>104210</v>
      </c>
      <c r="D37" s="437">
        <v>76640</v>
      </c>
      <c r="E37" s="437">
        <v>26070</v>
      </c>
      <c r="F37" s="437">
        <v>206920</v>
      </c>
      <c r="H37" s="436"/>
      <c r="I37" s="436"/>
      <c r="J37" s="436"/>
      <c r="K37" s="436"/>
    </row>
    <row r="38" spans="1:11">
      <c r="A38" s="130" t="s">
        <v>109</v>
      </c>
      <c r="B38" s="437">
        <v>4500</v>
      </c>
      <c r="C38" s="437">
        <v>0</v>
      </c>
      <c r="D38" s="437">
        <v>0</v>
      </c>
      <c r="E38" s="437">
        <v>0</v>
      </c>
      <c r="F38" s="437">
        <v>4500</v>
      </c>
      <c r="H38" s="436"/>
      <c r="I38" s="436"/>
      <c r="J38" s="436"/>
      <c r="K38" s="436"/>
    </row>
    <row r="39" spans="1:11">
      <c r="A39" s="118" t="s">
        <v>102</v>
      </c>
      <c r="B39" s="121">
        <v>98109</v>
      </c>
      <c r="C39" s="121">
        <v>36634</v>
      </c>
      <c r="D39" s="121">
        <v>30499</v>
      </c>
      <c r="E39" s="121">
        <v>6130</v>
      </c>
      <c r="F39" s="121">
        <v>73263</v>
      </c>
      <c r="H39" s="436"/>
      <c r="I39" s="436"/>
      <c r="J39" s="436"/>
      <c r="K39" s="436"/>
    </row>
    <row r="40" spans="1:11">
      <c r="A40" s="118" t="s">
        <v>105</v>
      </c>
      <c r="B40" s="121">
        <f>SUM(B23:B39)</f>
        <v>1789678</v>
      </c>
      <c r="C40" s="121">
        <f>SUM(C23:C39)</f>
        <v>891087</v>
      </c>
      <c r="D40" s="121">
        <f>SUM(D23:D39)</f>
        <v>601623</v>
      </c>
      <c r="E40" s="121">
        <f>SUM(E23:E39)</f>
        <v>140516</v>
      </c>
      <c r="F40" s="121">
        <f>SUM(F23:F39)</f>
        <v>1646726</v>
      </c>
      <c r="H40" s="436"/>
      <c r="I40" s="436"/>
      <c r="J40" s="436"/>
      <c r="K40" s="436"/>
    </row>
    <row r="41" spans="1:11">
      <c r="A41" s="118" t="s">
        <v>134</v>
      </c>
      <c r="B41" s="121">
        <f>B23+B24+B25+B27+B28+B29+B31+B33+B35+B37+B39</f>
        <v>1677561</v>
      </c>
      <c r="C41" s="121">
        <f>C23+C24+C25+C27+C28+C29+C31+C33+C35+C37+C39</f>
        <v>832426</v>
      </c>
      <c r="D41" s="121">
        <f>D23+D24+D25+D27+D28+D29+D31+D33+D35+D37+D39</f>
        <v>565260</v>
      </c>
      <c r="E41" s="121">
        <f>E23+E24+E25+E27+E28+E29+E31+E33+E35+E37+E39</f>
        <v>124067</v>
      </c>
      <c r="F41" s="121">
        <f>F23+F24+F25+F27+F28+F29+F31+F33+F35+F37+F39</f>
        <v>1521753</v>
      </c>
      <c r="H41" s="128"/>
      <c r="I41" s="128"/>
      <c r="J41" s="128"/>
      <c r="K41" s="128"/>
    </row>
    <row r="42" spans="1:11">
      <c r="A42" s="118" t="s">
        <v>135</v>
      </c>
      <c r="B42" s="121">
        <f>B26+B32+B30+B34+B36+B38</f>
        <v>112117</v>
      </c>
      <c r="C42" s="121">
        <f>C26+C32+C30+C34+C36+C38</f>
        <v>58661</v>
      </c>
      <c r="D42" s="121">
        <f>D26+D32+D30+D34+D36+D38</f>
        <v>36363</v>
      </c>
      <c r="E42" s="121">
        <f>E26+E32+E30+E34+E36+E38</f>
        <v>16449</v>
      </c>
      <c r="F42" s="121">
        <f>F26+F32+F30+F34+F36+F38</f>
        <v>124973</v>
      </c>
      <c r="H42" s="128"/>
      <c r="I42" s="128"/>
      <c r="J42" s="128"/>
      <c r="K42" s="128"/>
    </row>
    <row r="43" spans="1:11" s="118" customFormat="1">
      <c r="A43" s="118" t="s">
        <v>139</v>
      </c>
      <c r="B43" s="127">
        <f>B41/B40</f>
        <v>0.9373535351051977</v>
      </c>
      <c r="C43" s="127">
        <f>C41/C40</f>
        <v>0.93416916642258274</v>
      </c>
      <c r="D43" s="127">
        <f>D41/D40</f>
        <v>0.93955849427299154</v>
      </c>
      <c r="E43" s="127">
        <f>E41/E40</f>
        <v>0.88293859773975913</v>
      </c>
      <c r="F43" s="127">
        <f>F41/F40</f>
        <v>0.92410820014987316</v>
      </c>
      <c r="H43" s="128"/>
      <c r="I43" s="128"/>
      <c r="J43" s="128"/>
      <c r="K43" s="128"/>
    </row>
    <row r="44" spans="1:11" s="118" customFormat="1">
      <c r="A44" s="118" t="s">
        <v>140</v>
      </c>
      <c r="B44" s="127">
        <f>B42/B40</f>
        <v>6.2646464894802301E-2</v>
      </c>
      <c r="C44" s="127">
        <f>C42/C40</f>
        <v>6.5830833577417244E-2</v>
      </c>
      <c r="D44" s="127">
        <f>D42/D40</f>
        <v>6.0441505727008439E-2</v>
      </c>
      <c r="E44" s="127">
        <f>E42/E40</f>
        <v>0.11706140226024082</v>
      </c>
      <c r="F44" s="127">
        <f>F42/F40</f>
        <v>7.5891799850126854E-2</v>
      </c>
      <c r="H44" s="128"/>
      <c r="I44" s="128"/>
      <c r="J44" s="128"/>
      <c r="K44" s="128"/>
    </row>
    <row r="45" spans="1:11">
      <c r="A45" s="118"/>
      <c r="B45" s="118"/>
      <c r="C45" s="118"/>
      <c r="D45" s="118"/>
      <c r="E45" s="118"/>
      <c r="F45" s="118"/>
      <c r="G45" s="118"/>
      <c r="H45" s="130"/>
      <c r="I45" s="130"/>
      <c r="J45" s="130"/>
      <c r="K45" s="130"/>
    </row>
    <row r="46" spans="1:11">
      <c r="A46" s="109" t="s">
        <v>317</v>
      </c>
      <c r="B46" s="118"/>
      <c r="C46" s="118"/>
      <c r="D46" s="118"/>
      <c r="E46" s="118"/>
      <c r="F46" s="118"/>
      <c r="G46" s="118"/>
      <c r="H46" s="130"/>
      <c r="I46" s="130"/>
      <c r="J46" s="130"/>
      <c r="K46" s="130"/>
    </row>
    <row r="47" spans="1:11">
      <c r="A47" s="441" t="s">
        <v>319</v>
      </c>
      <c r="B47" s="441" t="s">
        <v>83</v>
      </c>
      <c r="C47" s="441" t="s">
        <v>104</v>
      </c>
      <c r="D47" s="118"/>
      <c r="E47" s="118"/>
      <c r="F47" s="118"/>
      <c r="G47" s="118"/>
    </row>
    <row r="48" spans="1:11">
      <c r="A48" s="130" t="s">
        <v>103</v>
      </c>
      <c r="B48" s="438">
        <f>B23/$B$41</f>
        <v>5.0395186821820488E-2</v>
      </c>
      <c r="C48" s="438">
        <f>F23/$F$41</f>
        <v>4.9959487512099533E-2</v>
      </c>
      <c r="D48" s="118"/>
      <c r="E48" s="118"/>
      <c r="F48" s="118"/>
      <c r="G48" s="118"/>
    </row>
    <row r="49" spans="1:7">
      <c r="A49" s="130" t="s">
        <v>90</v>
      </c>
      <c r="B49" s="438">
        <f>B24/$B$41</f>
        <v>9.0645884113901079E-2</v>
      </c>
      <c r="C49" s="438">
        <f>F24/$F$41</f>
        <v>0.13828853959873907</v>
      </c>
      <c r="D49" s="118"/>
      <c r="E49" s="118"/>
      <c r="F49" s="118"/>
      <c r="G49" s="118"/>
    </row>
    <row r="50" spans="1:7">
      <c r="A50" s="130" t="s">
        <v>91</v>
      </c>
      <c r="B50" s="438">
        <f>B25/$B$41</f>
        <v>0.12462616858641802</v>
      </c>
      <c r="C50" s="438">
        <f>F25/$F$41</f>
        <v>0.13057375277065331</v>
      </c>
      <c r="D50" s="118"/>
      <c r="E50" s="118"/>
      <c r="F50" s="118"/>
      <c r="G50" s="118"/>
    </row>
    <row r="51" spans="1:7">
      <c r="A51" s="130" t="s">
        <v>93</v>
      </c>
      <c r="B51" s="438">
        <f>B27/$B$41</f>
        <v>0.1189602047257894</v>
      </c>
      <c r="C51" s="438">
        <f>F27/$F$41</f>
        <v>0.14577004283875242</v>
      </c>
      <c r="D51" s="118"/>
      <c r="E51" s="118"/>
      <c r="F51" s="118"/>
      <c r="G51" s="118"/>
    </row>
    <row r="52" spans="1:7">
      <c r="A52" s="130" t="s">
        <v>94</v>
      </c>
      <c r="B52" s="438">
        <f>B28/$B$41</f>
        <v>0.13396532227442101</v>
      </c>
      <c r="C52" s="438">
        <f>F28/$F$41</f>
        <v>0.13765571679503835</v>
      </c>
      <c r="D52" s="118"/>
      <c r="E52" s="118"/>
      <c r="F52" s="118"/>
      <c r="G52" s="118"/>
    </row>
    <row r="53" spans="1:7">
      <c r="A53" s="130" t="s">
        <v>95</v>
      </c>
      <c r="B53" s="438">
        <f>B29/$B$41</f>
        <v>3.6598371087549125E-2</v>
      </c>
      <c r="C53" s="438">
        <f>F29/$F$41</f>
        <v>4.0522344953484564E-2</v>
      </c>
      <c r="D53" s="118"/>
      <c r="E53" s="118"/>
      <c r="F53" s="118"/>
      <c r="G53" s="118"/>
    </row>
    <row r="54" spans="1:7">
      <c r="A54" s="130" t="s">
        <v>97</v>
      </c>
      <c r="B54" s="438">
        <f>B31/$B$41</f>
        <v>3.4819598214312325E-2</v>
      </c>
      <c r="C54" s="438">
        <f>F31/$F$41</f>
        <v>3.1793595938368446E-2</v>
      </c>
      <c r="D54" s="118"/>
      <c r="E54" s="118"/>
      <c r="F54" s="118"/>
      <c r="G54" s="118"/>
    </row>
    <row r="55" spans="1:7">
      <c r="A55" s="130" t="s">
        <v>99</v>
      </c>
      <c r="B55" s="438">
        <f>B33/$B$41</f>
        <v>5.040353227095766E-2</v>
      </c>
      <c r="C55" s="438">
        <f>F33/$F$41</f>
        <v>4.531287271981721E-2</v>
      </c>
      <c r="D55" s="118"/>
      <c r="E55" s="118"/>
      <c r="F55" s="118"/>
      <c r="G55" s="118"/>
    </row>
    <row r="56" spans="1:7">
      <c r="A56" s="130" t="s">
        <v>100</v>
      </c>
      <c r="B56" s="438">
        <f>B35/$B$41</f>
        <v>8.7331548599425005E-2</v>
      </c>
      <c r="C56" s="438">
        <f>F35/$F$41</f>
        <v>9.6005067839524547E-2</v>
      </c>
      <c r="D56" s="118"/>
      <c r="E56" s="118"/>
      <c r="F56" s="118"/>
      <c r="G56" s="118"/>
    </row>
    <row r="57" spans="1:7">
      <c r="A57" s="130" t="s">
        <v>101</v>
      </c>
      <c r="B57" s="438">
        <f>B37/$B$41</f>
        <v>0.21377106406264809</v>
      </c>
      <c r="C57" s="438">
        <f>F37/$F$41</f>
        <v>0.13597476068718117</v>
      </c>
      <c r="D57" s="118"/>
      <c r="E57" s="118"/>
      <c r="F57" s="118"/>
      <c r="G57" s="118"/>
    </row>
    <row r="58" spans="1:7">
      <c r="A58" s="130" t="s">
        <v>102</v>
      </c>
      <c r="B58" s="438">
        <f>B39/$B$41</f>
        <v>5.8483119242757786E-2</v>
      </c>
      <c r="C58" s="438">
        <f>F39/$F$41</f>
        <v>4.8143818346341356E-2</v>
      </c>
      <c r="D58" s="118"/>
      <c r="E58" s="118"/>
      <c r="F58" s="118"/>
      <c r="G58" s="118"/>
    </row>
    <row r="59" spans="1:7">
      <c r="A59" s="130"/>
      <c r="B59" s="439"/>
      <c r="C59" s="130"/>
      <c r="D59" s="118"/>
      <c r="E59" s="118"/>
      <c r="F59" s="118"/>
      <c r="G59" s="118"/>
    </row>
    <row r="60" spans="1:7">
      <c r="A60" s="441" t="s">
        <v>318</v>
      </c>
      <c r="B60" s="439"/>
      <c r="C60" s="130"/>
      <c r="D60" s="118"/>
      <c r="E60" s="118"/>
      <c r="F60" s="118"/>
      <c r="G60" s="118"/>
    </row>
    <row r="61" spans="1:7">
      <c r="A61" s="441" t="s">
        <v>319</v>
      </c>
      <c r="B61" s="442" t="s">
        <v>83</v>
      </c>
      <c r="C61" s="441" t="s">
        <v>104</v>
      </c>
      <c r="D61" s="118"/>
      <c r="E61" s="118"/>
      <c r="F61" s="118"/>
      <c r="G61" s="118"/>
    </row>
    <row r="62" spans="1:7">
      <c r="A62" s="130" t="s">
        <v>92</v>
      </c>
      <c r="B62" s="438">
        <f>B26/$B$42</f>
        <v>0.39710302630288002</v>
      </c>
      <c r="C62" s="438">
        <f>F26/$F$42</f>
        <v>0.5347154985476863</v>
      </c>
      <c r="D62" s="118"/>
      <c r="E62" s="118"/>
      <c r="F62" s="118"/>
      <c r="G62" s="118"/>
    </row>
    <row r="63" spans="1:7">
      <c r="A63" s="130" t="s">
        <v>96</v>
      </c>
      <c r="B63" s="438">
        <f>B30/$B$42</f>
        <v>0.10267845197427687</v>
      </c>
      <c r="C63" s="438">
        <f>F30/$F$42</f>
        <v>8.0801453113872601E-2</v>
      </c>
      <c r="D63" s="118"/>
      <c r="E63" s="118"/>
      <c r="F63" s="118"/>
      <c r="G63" s="118"/>
    </row>
    <row r="64" spans="1:7">
      <c r="A64" s="130" t="s">
        <v>98</v>
      </c>
      <c r="B64" s="438">
        <f>B32/$B$42</f>
        <v>0.37980859280929741</v>
      </c>
      <c r="C64" s="438">
        <f>F32/$F$42</f>
        <v>0.27645971529850449</v>
      </c>
      <c r="D64" s="118"/>
      <c r="E64" s="118"/>
      <c r="F64" s="118"/>
      <c r="G64" s="118"/>
    </row>
    <row r="65" spans="1:7">
      <c r="A65" s="130" t="s">
        <v>108</v>
      </c>
      <c r="B65" s="438">
        <f>B34/$B$42</f>
        <v>4.0136642971181892E-2</v>
      </c>
      <c r="C65" s="438">
        <f>F34/$F$42</f>
        <v>3.6007777679978877E-2</v>
      </c>
      <c r="D65" s="118"/>
      <c r="E65" s="118"/>
      <c r="F65" s="118"/>
      <c r="G65" s="118"/>
    </row>
    <row r="66" spans="1:7">
      <c r="A66" s="130" t="s">
        <v>141</v>
      </c>
      <c r="B66" s="440">
        <f>B36/B42</f>
        <v>4.0136642971181892E-2</v>
      </c>
      <c r="C66" s="440">
        <f>F36/F42</f>
        <v>3.6007777679978877E-2</v>
      </c>
      <c r="D66" s="118"/>
      <c r="E66" s="118"/>
      <c r="F66" s="118"/>
      <c r="G66" s="118"/>
    </row>
    <row r="67" spans="1:7">
      <c r="A67" s="130" t="s">
        <v>109</v>
      </c>
      <c r="B67" s="438">
        <f>B38/$B$42</f>
        <v>4.0136642971181892E-2</v>
      </c>
      <c r="C67" s="438">
        <f>F38/$F$42</f>
        <v>3.6007777679978877E-2</v>
      </c>
    </row>
    <row r="68" spans="1:7">
      <c r="A68" s="443" t="s">
        <v>321</v>
      </c>
      <c r="B68" s="438"/>
      <c r="C68" s="438"/>
    </row>
  </sheetData>
  <dataValidations count="3">
    <dataValidation allowBlank="1" showInputMessage="1" showErrorMessage="1" promptTitle="Mitsubishi Note" prompt="This manufacturer's model year 2014 sales are not reported due to not being subject to the ZEV regulation.  Staff have set this manufacturer's sales at 4,500 in California, and 4,500 for New York, New Jersey and Oregon total." sqref="A34"/>
    <dataValidation allowBlank="1" showInputMessage="1" showErrorMessage="1" promptTitle="Tesla Note" prompt="This manufacturer's model year 2014 sales are not reported due to not being subject to the ZEV regulation.  Staff have set this manufacturer's sales at 4,500 in California, and 4,500 for New York, New Jersey and Oregon total." sqref="A36"/>
    <dataValidation allowBlank="1" showInputMessage="1" showErrorMessage="1" promptTitle="Volvo Note" prompt="This manufacturer's model year 2014 sales are not reported due to not being subject to the ZEV regulation.  Staff have set this manufacturer's sales at 4,500 in California, and 4,500 for New York, New Jersey and Oregon total." sqref="A38"/>
  </dataValidations>
  <hyperlinks>
    <hyperlink ref="A15" r:id="rId1" tooltip="2014 model year California sales data from the ZEV Public Credits Summary "/>
    <hyperlink ref="A18" r:id="rId2" tooltip="2014 model year New York sales data from the ZEV Public Credits Summary "/>
    <hyperlink ref="A19" r:id="rId3" tooltip="2014 model year New Jersey sales data from the ZEV Public Credits Summary "/>
    <hyperlink ref="A20" r:id="rId4" tooltip="2014 model year Oregon sales data from the ZEV Public Credits Summary "/>
    <hyperlink ref="A3" r:id="rId5" location="release=AEO2015&amp;subject=15-AEO2015&amp;table=48-AEO2015&amp;region=1-0&amp;cases=ref2015-d021915a" tooltip="2015 Annual Energy outlook, contains sales forecasts for 2014 through 2025 model years"/>
  </hyperlinks>
  <pageMargins left="0.7" right="0.7" top="0.75" bottom="0.75" header="0.3" footer="0.3"/>
  <pageSetup orientation="portrait" r:id="rId6"/>
  <drawing r:id="rId7"/>
  <tableParts count="4">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B22"/>
  <sheetViews>
    <sheetView workbookViewId="0">
      <selection activeCell="A21" sqref="A21"/>
    </sheetView>
  </sheetViews>
  <sheetFormatPr defaultRowHeight="15"/>
  <cols>
    <col min="1" max="1" width="17.42578125" customWidth="1"/>
    <col min="2" max="2" width="177.42578125" customWidth="1"/>
  </cols>
  <sheetData>
    <row r="1" spans="1:2" s="118" customFormat="1" ht="97.5" customHeight="1"/>
    <row r="2" spans="1:2">
      <c r="A2" t="s">
        <v>330</v>
      </c>
    </row>
    <row r="3" spans="1:2" s="118" customFormat="1">
      <c r="A3" s="118" t="s">
        <v>277</v>
      </c>
      <c r="B3" s="118" t="s">
        <v>278</v>
      </c>
    </row>
    <row r="4" spans="1:2">
      <c r="A4" t="s">
        <v>171</v>
      </c>
      <c r="B4" t="s">
        <v>174</v>
      </c>
    </row>
    <row r="5" spans="1:2" s="118" customFormat="1">
      <c r="A5" s="118" t="s">
        <v>177</v>
      </c>
      <c r="B5" s="118" t="s">
        <v>178</v>
      </c>
    </row>
    <row r="6" spans="1:2">
      <c r="A6" t="s">
        <v>176</v>
      </c>
      <c r="B6" t="s">
        <v>184</v>
      </c>
    </row>
    <row r="7" spans="1:2" ht="30">
      <c r="A7" t="s">
        <v>168</v>
      </c>
      <c r="B7" s="238" t="s">
        <v>169</v>
      </c>
    </row>
    <row r="8" spans="1:2">
      <c r="A8" t="s">
        <v>159</v>
      </c>
      <c r="B8" t="s">
        <v>160</v>
      </c>
    </row>
    <row r="9" spans="1:2">
      <c r="A9" t="s">
        <v>110</v>
      </c>
      <c r="B9" t="s">
        <v>112</v>
      </c>
    </row>
    <row r="10" spans="1:2" s="118" customFormat="1">
      <c r="A10" s="118" t="s">
        <v>155</v>
      </c>
      <c r="B10" s="118" t="s">
        <v>156</v>
      </c>
    </row>
    <row r="11" spans="1:2" s="118" customFormat="1">
      <c r="A11" s="118" t="s">
        <v>158</v>
      </c>
      <c r="B11" s="118" t="s">
        <v>161</v>
      </c>
    </row>
    <row r="12" spans="1:2">
      <c r="A12" t="s">
        <v>107</v>
      </c>
      <c r="B12" t="s">
        <v>113</v>
      </c>
    </row>
    <row r="13" spans="1:2" s="118" customFormat="1">
      <c r="A13" s="118" t="s">
        <v>166</v>
      </c>
      <c r="B13" s="118" t="s">
        <v>186</v>
      </c>
    </row>
    <row r="14" spans="1:2" s="118" customFormat="1">
      <c r="A14" s="118" t="s">
        <v>172</v>
      </c>
      <c r="B14" s="118" t="s">
        <v>173</v>
      </c>
    </row>
    <row r="15" spans="1:2" s="118" customFormat="1">
      <c r="A15" s="118" t="s">
        <v>182</v>
      </c>
      <c r="B15" s="118" t="s">
        <v>183</v>
      </c>
    </row>
    <row r="16" spans="1:2" s="118" customFormat="1">
      <c r="A16" s="118" t="s">
        <v>170</v>
      </c>
      <c r="B16" s="118" t="s">
        <v>175</v>
      </c>
    </row>
    <row r="17" spans="1:2" s="118" customFormat="1" ht="30">
      <c r="A17" s="118" t="s">
        <v>157</v>
      </c>
      <c r="B17" s="238" t="s">
        <v>187</v>
      </c>
    </row>
    <row r="18" spans="1:2" s="118" customFormat="1">
      <c r="A18" s="118" t="s">
        <v>164</v>
      </c>
      <c r="B18" s="118" t="s">
        <v>185</v>
      </c>
    </row>
    <row r="19" spans="1:2" s="118" customFormat="1">
      <c r="A19" s="118" t="s">
        <v>192</v>
      </c>
      <c r="B19" s="118" t="s">
        <v>193</v>
      </c>
    </row>
    <row r="20" spans="1:2">
      <c r="A20" t="s">
        <v>162</v>
      </c>
      <c r="B20" t="s">
        <v>163</v>
      </c>
    </row>
    <row r="21" spans="1:2" s="118" customFormat="1">
      <c r="A21" s="283" t="s">
        <v>302</v>
      </c>
    </row>
    <row r="22" spans="1:2" s="118" customFormat="1"/>
  </sheetData>
  <sortState ref="A1:B37">
    <sortCondition ref="A1"/>
  </sortState>
  <dataValidations count="1">
    <dataValidation allowBlank="1" showInputMessage="1" showErrorMessage="1" promptTitle="Definition" prompt="Definitions and acronyms found in this calculator are consistent with those found in CCR 1962.1 and 1962.2, and associated test procedures. " sqref="A4"/>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4"/>
  <sheetViews>
    <sheetView workbookViewId="0">
      <selection activeCell="A3" sqref="A3:G3"/>
    </sheetView>
  </sheetViews>
  <sheetFormatPr defaultRowHeight="15"/>
  <cols>
    <col min="1" max="1" width="164.7109375" customWidth="1"/>
  </cols>
  <sheetData>
    <row r="1" spans="1:17" s="118" customFormat="1" ht="115.5" customHeight="1"/>
    <row r="2" spans="1:17">
      <c r="A2" s="449" t="s">
        <v>78</v>
      </c>
      <c r="B2" s="449"/>
      <c r="C2" s="449"/>
      <c r="D2" s="449"/>
      <c r="E2" s="449"/>
      <c r="F2" s="449"/>
      <c r="G2" s="449"/>
    </row>
    <row r="3" spans="1:17" s="118" customFormat="1">
      <c r="A3" s="450" t="s">
        <v>216</v>
      </c>
      <c r="B3" s="450"/>
      <c r="C3" s="450"/>
      <c r="D3" s="450"/>
      <c r="E3" s="450"/>
      <c r="F3" s="450"/>
      <c r="G3" s="450"/>
    </row>
    <row r="4" spans="1:17" s="118" customFormat="1">
      <c r="A4" s="118" t="s">
        <v>271</v>
      </c>
    </row>
    <row r="5" spans="1:17" s="118" customFormat="1" ht="32.25" customHeight="1">
      <c r="A5" s="238" t="s">
        <v>111</v>
      </c>
      <c r="B5" s="238"/>
      <c r="C5" s="238"/>
      <c r="D5" s="238"/>
      <c r="E5" s="238"/>
      <c r="F5" s="238"/>
      <c r="G5" s="238"/>
      <c r="H5" s="238"/>
      <c r="I5" s="238"/>
      <c r="J5" s="238"/>
      <c r="K5" s="238"/>
      <c r="L5" s="238"/>
      <c r="M5" s="238"/>
      <c r="N5" s="238"/>
      <c r="O5" s="238"/>
      <c r="P5" s="238"/>
      <c r="Q5" s="238"/>
    </row>
    <row r="6" spans="1:17" s="118" customFormat="1" ht="19.5" customHeight="1">
      <c r="A6" s="448" t="s">
        <v>275</v>
      </c>
      <c r="B6" s="448"/>
      <c r="C6" s="448"/>
      <c r="D6" s="448"/>
      <c r="E6" s="448"/>
      <c r="F6" s="448"/>
      <c r="G6" s="448"/>
      <c r="H6" s="448"/>
      <c r="I6" s="448"/>
      <c r="J6" s="448"/>
      <c r="K6" s="448"/>
      <c r="L6" s="448"/>
      <c r="M6" s="448"/>
      <c r="N6" s="448"/>
      <c r="O6" s="448"/>
      <c r="P6" s="448"/>
      <c r="Q6" s="448"/>
    </row>
    <row r="7" spans="1:17" s="118" customFormat="1" ht="32.25" customHeight="1">
      <c r="A7" s="238" t="s">
        <v>276</v>
      </c>
      <c r="B7" s="238"/>
      <c r="C7" s="238"/>
      <c r="D7" s="238"/>
      <c r="E7" s="238"/>
      <c r="F7" s="238"/>
      <c r="G7" s="238"/>
      <c r="H7" s="238"/>
      <c r="I7" s="238"/>
      <c r="J7" s="238"/>
      <c r="K7" s="238"/>
      <c r="L7" s="238"/>
      <c r="M7" s="238"/>
      <c r="N7" s="238"/>
      <c r="O7" s="238"/>
      <c r="P7" s="238"/>
      <c r="Q7" s="238"/>
    </row>
    <row r="8" spans="1:17" s="118" customFormat="1">
      <c r="A8" s="118" t="s">
        <v>322</v>
      </c>
    </row>
    <row r="9" spans="1:17" s="118" customFormat="1" ht="18" customHeight="1">
      <c r="A9" s="238" t="s">
        <v>188</v>
      </c>
      <c r="B9" s="238"/>
      <c r="C9" s="238"/>
      <c r="D9" s="238"/>
      <c r="E9" s="238"/>
      <c r="F9" s="238"/>
      <c r="G9" s="238"/>
      <c r="H9" s="238"/>
      <c r="I9" s="238"/>
      <c r="J9" s="238"/>
      <c r="K9" s="238"/>
      <c r="L9" s="238"/>
      <c r="M9" s="238"/>
      <c r="N9" s="238"/>
      <c r="O9" s="238"/>
      <c r="P9" s="238"/>
      <c r="Q9" s="238"/>
    </row>
    <row r="10" spans="1:17" s="118" customFormat="1">
      <c r="A10" s="118" t="s">
        <v>323</v>
      </c>
    </row>
    <row r="11" spans="1:17" s="118" customFormat="1" ht="30.75" customHeight="1">
      <c r="A11" s="238" t="s">
        <v>89</v>
      </c>
      <c r="B11" s="238"/>
      <c r="C11" s="238"/>
      <c r="D11" s="238"/>
      <c r="E11" s="238"/>
      <c r="F11" s="238"/>
      <c r="G11" s="238"/>
      <c r="H11" s="238"/>
      <c r="I11" s="238"/>
      <c r="J11" s="238"/>
      <c r="K11" s="238"/>
      <c r="L11" s="238"/>
      <c r="M11" s="238"/>
      <c r="N11" s="238"/>
      <c r="O11" s="238"/>
      <c r="P11" s="238"/>
      <c r="Q11" s="238"/>
    </row>
    <row r="12" spans="1:17" s="118" customFormat="1">
      <c r="A12" s="118" t="s">
        <v>324</v>
      </c>
    </row>
    <row r="13" spans="1:17" s="118" customFormat="1" ht="48.75" customHeight="1">
      <c r="A13" s="238" t="s">
        <v>167</v>
      </c>
      <c r="B13" s="238"/>
      <c r="C13" s="238"/>
      <c r="D13" s="238"/>
      <c r="E13" s="238"/>
      <c r="F13" s="238"/>
      <c r="G13" s="238"/>
      <c r="H13" s="238"/>
      <c r="I13" s="238"/>
      <c r="J13" s="238"/>
      <c r="K13" s="238"/>
      <c r="L13" s="238"/>
      <c r="M13" s="238"/>
      <c r="N13" s="238"/>
      <c r="O13" s="238"/>
      <c r="P13" s="238"/>
      <c r="Q13" s="238"/>
    </row>
    <row r="14" spans="1:17" s="118" customFormat="1">
      <c r="A14" s="118" t="s">
        <v>325</v>
      </c>
    </row>
    <row r="15" spans="1:17" s="118" customFormat="1" ht="47.25" customHeight="1">
      <c r="A15" s="238" t="s">
        <v>273</v>
      </c>
      <c r="B15" s="238"/>
      <c r="C15" s="238"/>
      <c r="D15" s="238"/>
      <c r="E15" s="238"/>
      <c r="F15" s="238"/>
      <c r="G15" s="238"/>
      <c r="H15" s="238"/>
      <c r="I15" s="238"/>
      <c r="J15" s="238"/>
      <c r="K15" s="238"/>
      <c r="L15" s="238"/>
      <c r="M15" s="238"/>
      <c r="N15" s="238"/>
      <c r="O15" s="238"/>
      <c r="P15" s="238"/>
      <c r="Q15" s="238"/>
    </row>
    <row r="16" spans="1:17" s="118" customFormat="1">
      <c r="A16" s="118" t="s">
        <v>326</v>
      </c>
    </row>
    <row r="17" spans="1:17" s="118" customFormat="1" ht="33.75" customHeight="1">
      <c r="A17" s="238" t="s">
        <v>190</v>
      </c>
      <c r="B17" s="238"/>
      <c r="C17" s="238"/>
      <c r="D17" s="238"/>
      <c r="E17" s="238"/>
      <c r="F17" s="238"/>
      <c r="G17" s="238"/>
      <c r="H17" s="238"/>
      <c r="I17" s="238"/>
      <c r="J17" s="238"/>
      <c r="K17" s="238"/>
      <c r="L17" s="238"/>
      <c r="M17" s="238"/>
      <c r="N17" s="238"/>
      <c r="O17" s="238"/>
      <c r="P17" s="238"/>
      <c r="Q17" s="238"/>
    </row>
    <row r="18" spans="1:17" s="118" customFormat="1">
      <c r="A18" s="118" t="s">
        <v>327</v>
      </c>
    </row>
    <row r="19" spans="1:17" s="118" customFormat="1" ht="30" customHeight="1">
      <c r="A19" s="238" t="s">
        <v>191</v>
      </c>
      <c r="B19" s="238"/>
      <c r="C19" s="238"/>
      <c r="D19" s="238"/>
      <c r="E19" s="238"/>
      <c r="F19" s="238"/>
      <c r="G19" s="238"/>
      <c r="H19" s="238"/>
      <c r="I19" s="238"/>
      <c r="J19" s="238"/>
      <c r="K19" s="238"/>
      <c r="L19" s="238"/>
      <c r="M19" s="238"/>
      <c r="N19" s="238"/>
      <c r="O19" s="238"/>
      <c r="P19" s="238"/>
      <c r="Q19" s="238"/>
    </row>
    <row r="20" spans="1:17" s="118" customFormat="1">
      <c r="A20" s="118" t="s">
        <v>328</v>
      </c>
    </row>
    <row r="21" spans="1:17" s="118" customFormat="1" ht="64.5" customHeight="1">
      <c r="A21" s="238" t="s">
        <v>274</v>
      </c>
      <c r="B21" s="238"/>
      <c r="C21" s="238"/>
      <c r="D21" s="238"/>
      <c r="E21" s="238"/>
      <c r="F21" s="238"/>
      <c r="G21" s="238"/>
      <c r="H21" s="238"/>
      <c r="I21" s="238"/>
      <c r="J21" s="238"/>
      <c r="K21" s="238"/>
      <c r="L21" s="238"/>
      <c r="M21" s="238"/>
      <c r="N21" s="238"/>
      <c r="O21" s="238"/>
      <c r="P21" s="238"/>
      <c r="Q21" s="238"/>
    </row>
    <row r="22" spans="1:17" s="118" customFormat="1">
      <c r="A22" s="118" t="s">
        <v>329</v>
      </c>
    </row>
    <row r="23" spans="1:17" s="118" customFormat="1" ht="63" customHeight="1">
      <c r="A23" s="238" t="s">
        <v>280</v>
      </c>
      <c r="B23" s="238"/>
      <c r="C23" s="238"/>
      <c r="D23" s="238"/>
      <c r="E23" s="238"/>
      <c r="F23" s="238"/>
      <c r="G23" s="238"/>
      <c r="H23" s="238"/>
      <c r="I23" s="238"/>
      <c r="J23" s="238"/>
      <c r="K23" s="238"/>
      <c r="L23" s="238"/>
      <c r="M23" s="238"/>
      <c r="N23" s="238"/>
      <c r="O23" s="238"/>
      <c r="P23" s="238"/>
      <c r="Q23" s="238"/>
    </row>
    <row r="24" spans="1:17">
      <c r="A24" s="283" t="s">
        <v>302</v>
      </c>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h m I i U 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G Y i J 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m I i U C i K R 7 g O A A A A E Q A A A B M A H A B G b 3 J t d W x h c y 9 T Z W N 0 a W 9 u M S 5 t I K I Y A C i g F A A A A A A A A A A A A A A A A A A A A A A A A A A A A C t O T S 7 J z M 9 T C I b Q h t Y A U E s B A i 0 A F A A C A A g A h m I i U N H d V o y m A A A A + A A A A B I A A A A A A A A A A A A A A A A A A A A A A E N v b m Z p Z y 9 Q Y W N r Y W d l L n h t b F B L A Q I t A B Q A A g A I A I Z i I l A P y u m r p A A A A O k A A A A T A A A A A A A A A A A A A A A A A P I A A A B b Q 2 9 u d G V u d F 9 U e X B l c 1 0 u e G 1 s U E s B A i 0 A F A A C A A g A h m I i 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D E c C R h X A 9 J g j w e h s R 1 T b w A A A A A A g A A A A A A A 2 Y A A M A A A A A Q A A A A R Y T d R U z 6 j r 2 g M H M m 5 d k o g w A A A A A E g A A A o A A A A B A A A A D / 8 w R U d i N Q 8 l U R K + P S L E W R U A A A A O x e + m m 9 p v t U x b Q g l e Y N M o Z Y R P q u f i V t m 9 x A J X 4 d 4 2 B v W T u a N p q a 6 a 1 O p l k b b m 0 5 u B l Y T x t v i L n j q g + p + U j E D I v y u Z D Y y B U k V B M 2 8 7 L 4 s t V x F A A A A N u 2 / r K 9 4 g d Q L Q g S 3 M S G 9 J 1 Y N F a 3 < / D a t a M a s h u p > 
</file>

<file path=customXml/itemProps1.xml><?xml version="1.0" encoding="utf-8"?>
<ds:datastoreItem xmlns:ds="http://schemas.openxmlformats.org/officeDocument/2006/customXml" ds:itemID="{CD28167E-0B60-4C91-8311-05C675F976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 ME</vt:lpstr>
      <vt:lpstr>Scenarios</vt:lpstr>
      <vt:lpstr>Compliance Calculator 1</vt:lpstr>
      <vt:lpstr>Compliance Calculator 2</vt:lpstr>
      <vt:lpstr>Compliance Calculator 3</vt:lpstr>
      <vt:lpstr>Sales-Mkt Shares Reference</vt:lpstr>
      <vt:lpstr>Acronyms-Definitions</vt:lpstr>
      <vt:lpstr>Frequently Asked Questions</vt:lpstr>
      <vt:lpstr>https___ww3.arb.ca.gov_msprog_acc_mtr_appendix_a.pdf?_ga_2.135809265.1503454480.1576520488_895192167.1537387928</vt:lpstr>
      <vt:lpstr>Scenarios!Print_Area</vt:lpstr>
    </vt:vector>
  </TitlesOfParts>
  <Company>carb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Shelly Sabate</dc:creator>
  <cp:lastModifiedBy>Anna C Wong</cp:lastModifiedBy>
  <cp:lastPrinted>2016-03-25T18:23:06Z</cp:lastPrinted>
  <dcterms:created xsi:type="dcterms:W3CDTF">2016-03-16T20:12:44Z</dcterms:created>
  <dcterms:modified xsi:type="dcterms:W3CDTF">2020-01-08T20:57:24Z</dcterms:modified>
</cp:coreProperties>
</file>