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3e4387646bbb898/Desktop/Guardian/Verra ARR/"/>
    </mc:Choice>
  </mc:AlternateContent>
  <xr:revisionPtr revIDLastSave="0" documentId="8_{CB655011-F756-45EE-96EA-CC1691E9A59C}" xr6:coauthVersionLast="47" xr6:coauthVersionMax="47" xr10:uidLastSave="{00000000-0000-0000-0000-000000000000}"/>
  <bookViews>
    <workbookView xWindow="28680" yWindow="-120" windowWidth="29040" windowHeight="15840" xr2:uid="{783BA940-5DCD-415B-8754-6363E22270D4}"/>
  </bookViews>
  <sheets>
    <sheet name="Sheet1" sheetId="1" r:id="rId1"/>
    <sheet name="Performance Benchmark" sheetId="2" r:id="rId2"/>
    <sheet name="Control Plo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7" i="1" l="1"/>
  <c r="E57" i="1"/>
  <c r="E58" i="1"/>
  <c r="E59" i="1"/>
  <c r="E63" i="1"/>
  <c r="E66" i="1"/>
  <c r="E68" i="1"/>
  <c r="E70" i="1"/>
  <c r="E73" i="1"/>
  <c r="E94" i="1"/>
  <c r="E80" i="1"/>
  <c r="E71" i="1" l="1"/>
  <c r="E74" i="1"/>
  <c r="E60" i="1"/>
  <c r="E198" i="1"/>
  <c r="E197" i="1"/>
  <c r="E181" i="1"/>
  <c r="E180" i="1"/>
  <c r="E164" i="1"/>
  <c r="E163" i="1"/>
  <c r="E147" i="1"/>
  <c r="E146" i="1"/>
  <c r="E87" i="1"/>
  <c r="E75" i="1" l="1"/>
  <c r="E95" i="1"/>
  <c r="E100" i="1"/>
  <c r="E101" i="1" s="1"/>
  <c r="E109" i="1"/>
  <c r="E110" i="1" s="1"/>
  <c r="E112" i="1"/>
  <c r="E113" i="1" s="1"/>
  <c r="E129" i="1"/>
  <c r="E130" i="1"/>
  <c r="E212" i="1"/>
  <c r="E211" i="1"/>
  <c r="E216" i="1" l="1"/>
  <c r="E217" i="1" s="1"/>
  <c r="E199" i="1"/>
  <c r="E131" i="1"/>
  <c r="B37" i="2"/>
  <c r="B35" i="2"/>
  <c r="B34" i="2"/>
  <c r="B36" i="2"/>
  <c r="B26" i="3"/>
  <c r="D8" i="3"/>
  <c r="D21" i="3"/>
  <c r="D4" i="3"/>
  <c r="D5" i="3"/>
  <c r="D6" i="3"/>
  <c r="D7" i="3"/>
  <c r="D9" i="3"/>
  <c r="D10" i="3"/>
  <c r="D11" i="3"/>
  <c r="D12" i="3"/>
  <c r="D13" i="3"/>
  <c r="D14" i="3"/>
  <c r="D15" i="3"/>
  <c r="D16" i="3"/>
  <c r="D17" i="3"/>
  <c r="D18" i="3"/>
  <c r="D19" i="3"/>
  <c r="D20" i="3"/>
  <c r="D3" i="3"/>
  <c r="E190" i="1"/>
  <c r="E189" i="1"/>
  <c r="E173" i="1"/>
  <c r="E172" i="1"/>
  <c r="E156" i="1"/>
  <c r="E155" i="1"/>
  <c r="E139" i="1"/>
  <c r="E138" i="1"/>
  <c r="E121" i="1"/>
  <c r="E122" i="1"/>
  <c r="E123" i="1" l="1"/>
  <c r="E132" i="1" s="1"/>
  <c r="E140" i="1"/>
  <c r="E157" i="1"/>
  <c r="E191" i="1"/>
  <c r="E200" i="1" s="1"/>
  <c r="E174" i="1"/>
  <c r="B25" i="3"/>
  <c r="E106" i="1" l="1"/>
  <c r="E107" i="1" s="1"/>
  <c r="E103" i="1"/>
  <c r="E104" i="1" s="1"/>
  <c r="E84" i="1"/>
  <c r="E91" i="1"/>
  <c r="E77" i="1"/>
  <c r="E88" i="1"/>
  <c r="E81" i="1"/>
  <c r="E206" i="1" l="1"/>
  <c r="E92" i="1"/>
  <c r="E96" i="1" s="1"/>
  <c r="E114" i="1"/>
  <c r="E78" i="1"/>
  <c r="E85" i="1"/>
  <c r="E89" i="1" s="1"/>
  <c r="E182" i="1" l="1"/>
  <c r="E82" i="1"/>
  <c r="E97" i="1" s="1"/>
  <c r="E183" i="1" l="1"/>
  <c r="E165" i="1"/>
  <c r="E148" i="1"/>
  <c r="E166" i="1" l="1"/>
  <c r="E149" i="1"/>
  <c r="E201" i="1" l="1"/>
  <c r="E202" i="1" s="1"/>
  <c r="E2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tc={6A652F33-CBDA-493F-8384-0F1EEB9682CA}</author>
    <author>tc={78FBF00E-DE1D-4C9C-8D64-B6F5C69CE3C6}</author>
    <author>tc={14946931-30B7-49BA-9A06-B058D7279589}</author>
    <author>tc={0CC2F5CA-9E4A-452B-931C-ABC07729281C}</author>
    <author>tc={5EF5E9D1-028F-4821-BA24-FE0376E2C221}</author>
    <author>tc={491A9410-0FA7-41E1-A66B-6808E67A1896}</author>
    <author>tc={3AE12FD5-F154-457C-9CAF-2E1AAAC934CB}</author>
    <author>tc={8EA7A855-F308-4AAE-B9A0-5C16F0954A81}</author>
    <author>tc={5BE09800-3B08-4869-9230-56160850BD56}</author>
    <author>tc={96AF9707-AEC9-4762-B6F2-8ED3B0277EBA}</author>
    <author>tc={4BB91EAE-1DE8-410C-821B-5903B38B51F5}</author>
    <author>tc={2631DBC6-E046-4850-9B27-5754670523A0}</author>
    <author>tc={5236A8EF-B158-46C7-A917-B7FD3A2FF00A}</author>
    <author>tc={9EAD04C9-46FC-4930-888D-E04D8DCF99C1}</author>
    <author>tc={D1842BE6-B7D4-410C-AE95-FB042F12A7B4}</author>
    <author>tc={009E681D-BD82-40EC-B69A-13ACCA905844}</author>
    <author>tc={3A1A9F02-D17F-4102-8200-DC36A9F018F1}</author>
    <author>tc={705BA050-E9C6-491B-8E56-0EEBFBEA4F85}</author>
    <author>tc={3D8D3F2D-79FC-4A9A-914A-890477E760C6}</author>
    <author>tc={C51B9ADE-379D-456A-BA9C-05926F3ACC76}</author>
    <author>tc={C622B518-52BE-43A6-81BC-777789F5AD23}</author>
    <author>tc={861DB8D7-47AA-46EA-B641-B9F6E67F58EA}</author>
    <author>tc={9E86E1C6-DC8A-4364-B150-A3FBC014DF49}</author>
    <author>tc={1A93C274-EA51-43C4-AAE0-CD10ACF9CB1C}</author>
  </authors>
  <commentList>
    <comment ref="C57" authorId="0" shapeId="0" xr:uid="{6A652F33-CBDA-493F-8384-0F1EEB9682CA}">
      <text>
        <t>[Threaded comment]
Your version of Excel allows you to read this threaded comment; however, any edits to it will get removed if the file is opened in a newer version of Excel. Learn more: https://go.microsoft.com/fwlink/?linkid=870924
Comment:
    Eq A1</t>
      </text>
    </comment>
    <comment ref="C58" authorId="1" shapeId="0" xr:uid="{78FBF00E-DE1D-4C9C-8D64-B6F5C69CE3C6}">
      <text>
        <t>[Threaded comment]
Your version of Excel allows you to read this threaded comment; however, any edits to it will get removed if the file is opened in a newer version of Excel. Learn more: https://go.microsoft.com/fwlink/?linkid=870924
Comment:
    Eq A1</t>
      </text>
    </comment>
    <comment ref="C60" authorId="2" shapeId="0" xr:uid="{14946931-30B7-49BA-9A06-B058D7279589}">
      <text>
        <t>[Threaded comment]
Your version of Excel allows you to read this threaded comment; however, any edits to it will get removed if the file is opened in a newer version of Excel. Learn more: https://go.microsoft.com/fwlink/?linkid=870924
Comment:
    Equation A2</t>
      </text>
    </comment>
    <comment ref="C91" authorId="3" shapeId="0" xr:uid="{0CC2F5CA-9E4A-452B-931C-ABC07729281C}">
      <text>
        <t>[Threaded comment]
Your version of Excel allows you to read this threaded comment; however, any edits to it will get removed if the file is opened in a newer version of Excel. Learn more: https://go.microsoft.com/fwlink/?linkid=870924
Comment:
    Eq 8</t>
      </text>
    </comment>
    <comment ref="C92" authorId="4" shapeId="0" xr:uid="{5EF5E9D1-028F-4821-BA24-FE0376E2C221}">
      <text>
        <t>[Threaded comment]
Your version of Excel allows you to read this threaded comment; however, any edits to it will get removed if the file is opened in a newer version of Excel. Learn more: https://go.microsoft.com/fwlink/?linkid=870924
Comment:
    Eq 7</t>
      </text>
    </comment>
    <comment ref="C94" authorId="5" shapeId="0" xr:uid="{491A9410-0FA7-41E1-A66B-6808E67A1896}">
      <text>
        <t>[Threaded comment]
Your version of Excel allows you to read this threaded comment; however, any edits to it will get removed if the file is opened in a newer version of Excel. Learn more: https://go.microsoft.com/fwlink/?linkid=870924
Comment:
    Eq 13</t>
      </text>
    </comment>
    <comment ref="C95" authorId="6" shapeId="0" xr:uid="{3AE12FD5-F154-457C-9CAF-2E1AAAC934CB}">
      <text>
        <t>[Threaded comment]
Your version of Excel allows you to read this threaded comment; however, any edits to it will get removed if the file is opened in a newer version of Excel. Learn more: https://go.microsoft.com/fwlink/?linkid=870924
Comment:
    Eq 12</t>
      </text>
    </comment>
    <comment ref="C96" authorId="7" shapeId="0" xr:uid="{8EA7A855-F308-4AAE-B9A0-5C16F0954A81}">
      <text>
        <t>[Threaded comment]
Your version of Excel allows you to read this threaded comment; however, any edits to it will get removed if the file is opened in a newer version of Excel. Learn more: https://go.microsoft.com/fwlink/?linkid=870924
Comment:
    Eq 6</t>
      </text>
    </comment>
    <comment ref="C97" authorId="8" shapeId="0" xr:uid="{5BE09800-3B08-4869-9230-56160850BD56}">
      <text>
        <t>[Threaded comment]
Your version of Excel allows you to read this threaded comment; however, any edits to it will get removed if the file is opened in a newer version of Excel. Learn more: https://go.microsoft.com/fwlink/?linkid=870924
Comment:
    Eq 2</t>
      </text>
    </comment>
    <comment ref="C112" authorId="9" shapeId="0" xr:uid="{96AF9707-AEC9-4762-B6F2-8ED3B0277EBA}">
      <text>
        <t>[Threaded comment]
Your version of Excel allows you to read this threaded comment; however, any edits to it will get removed if the file is opened in a newer version of Excel. Learn more: https://go.microsoft.com/fwlink/?linkid=870924
Comment:
    Eq 31</t>
      </text>
    </comment>
    <comment ref="C113" authorId="10" shapeId="0" xr:uid="{4BB91EAE-1DE8-410C-821B-5903B38B51F5}">
      <text>
        <t>[Threaded comment]
Your version of Excel allows you to read this threaded comment; however, any edits to it will get removed if the file is opened in a newer version of Excel. Learn more: https://go.microsoft.com/fwlink/?linkid=870924
Comment:
    Eq 30</t>
      </text>
    </comment>
    <comment ref="C114" authorId="11" shapeId="0" xr:uid="{2631DBC6-E046-4850-9B27-5754670523A0}">
      <text>
        <t>[Threaded comment]
Your version of Excel allows you to read this threaded comment; however, any edits to it will get removed if the file is opened in a newer version of Excel. Learn more: https://go.microsoft.com/fwlink/?linkid=870924
Comment:
    Eq 4</t>
      </text>
    </comment>
    <comment ref="C197" authorId="12" shapeId="0" xr:uid="{5236A8EF-B158-46C7-A917-B7FD3A2FF00A}">
      <text>
        <t>[Threaded comment]
Your version of Excel allows you to read this threaded comment; however, any edits to it will get removed if the file is opened in a newer version of Excel. Learn more: https://go.microsoft.com/fwlink/?linkid=870924
Comment:
    Eq 36</t>
      </text>
    </comment>
    <comment ref="C198" authorId="13" shapeId="0" xr:uid="{9EAD04C9-46FC-4930-888D-E04D8DCF99C1}">
      <text>
        <t>[Threaded comment]
Your version of Excel allows you to read this threaded comment; however, any edits to it will get removed if the file is opened in a newer version of Excel. Learn more: https://go.microsoft.com/fwlink/?linkid=870924
Comment:
    Eq 36</t>
      </text>
    </comment>
    <comment ref="C199" authorId="14" shapeId="0" xr:uid="{D1842BE6-B7D4-410C-AE95-FB042F12A7B4}">
      <text>
        <t>[Threaded comment]
Your version of Excel allows you to read this threaded comment; however, any edits to it will get removed if the file is opened in a newer version of Excel. Learn more: https://go.microsoft.com/fwlink/?linkid=870924
Comment:
    Eq 36</t>
      </text>
    </comment>
    <comment ref="C200" authorId="15" shapeId="0" xr:uid="{009E681D-BD82-40EC-B69A-13ACCA905844}">
      <text>
        <t>[Threaded comment]
Your version of Excel allows you to read this threaded comment; however, any edits to it will get removed if the file is opened in a newer version of Excel. Learn more: https://go.microsoft.com/fwlink/?linkid=870924
Comment:
    Eq 34</t>
      </text>
    </comment>
    <comment ref="C201" authorId="16" shapeId="0" xr:uid="{3A1A9F02-D17F-4102-8200-DC36A9F018F1}">
      <text>
        <t>[Threaded comment]
Your version of Excel allows you to read this threaded comment; however, any edits to it will get removed if the file is opened in a newer version of Excel. Learn more: https://go.microsoft.com/fwlink/?linkid=870924
Comment:
    Eq 5</t>
      </text>
    </comment>
    <comment ref="C202" authorId="17" shapeId="0" xr:uid="{705BA050-E9C6-491B-8E56-0EEBFBEA4F85}">
      <text>
        <t>[Threaded comment]
Your version of Excel allows you to read this threaded comment; however, any edits to it will get removed if the file is opened in a newer version of Excel. Learn more: https://go.microsoft.com/fwlink/?linkid=870924
Comment:
    Eq 1</t>
      </text>
    </comment>
    <comment ref="C211" authorId="18" shapeId="0" xr:uid="{3D8D3F2D-79FC-4A9A-914A-890477E760C6}">
      <text>
        <t>[Threaded comment]
Your version of Excel allows you to read this threaded comment; however, any edits to it will get removed if the file is opened in a newer version of Excel. Learn more: https://go.microsoft.com/fwlink/?linkid=870924
Comment:
    Leakage Module Eq 1</t>
      </text>
    </comment>
    <comment ref="C212" authorId="19" shapeId="0" xr:uid="{C51B9ADE-379D-456A-BA9C-05926F3ACC76}">
      <text>
        <t>[Threaded comment]
Your version of Excel allows you to read this threaded comment; however, any edits to it will get removed if the file is opened in a newer version of Excel. Learn more: https://go.microsoft.com/fwlink/?linkid=870924
Comment:
    Leakage Module Eq 1</t>
      </text>
    </comment>
    <comment ref="C216" authorId="20" shapeId="0" xr:uid="{C622B518-52BE-43A6-81BC-777789F5AD23}">
      <text>
        <t>[Threaded comment]
Your version of Excel allows you to read this threaded comment; however, any edits to it will get removed if the file is opened in a newer version of Excel. Learn more: https://go.microsoft.com/fwlink/?linkid=870924
Comment:
    Leakage Module Eq 2</t>
      </text>
    </comment>
    <comment ref="C217" authorId="21" shapeId="0" xr:uid="{861DB8D7-47AA-46EA-B641-B9F6E67F58EA}">
      <text>
        <t>[Threaded comment]
Your version of Excel allows you to read this threaded comment; however, any edits to it will get removed if the file is opened in a newer version of Excel. Learn more: https://go.microsoft.com/fwlink/?linkid=870924
Comment:
    Leakage Module Table 2</t>
      </text>
    </comment>
    <comment ref="E217" authorId="22" shapeId="0" xr:uid="{9E86E1C6-DC8A-4364-B150-A3FBC014DF49}">
      <text>
        <t>[Threaded comment]
Your version of Excel allows you to read this threaded comment; however, any edits to it will get removed if the file is opened in a newer version of Excel. Learn more: https://go.microsoft.com/fwlink/?linkid=870924
Comment:
    Build out the IF/THEN for table 2
https://verra.org/wp-content/uploads/imported/ARR-Leakage-Tool-1.pdf</t>
      </text>
    </comment>
    <comment ref="C218" authorId="23" shapeId="0" xr:uid="{1A93C274-EA51-43C4-AAE0-CD10ACF9CB1C}">
      <text>
        <t>[Threaded comment]
Your version of Excel allows you to read this threaded comment; however, any edits to it will get removed if the file is opened in a newer version of Excel. Learn more: https://go.microsoft.com/fwlink/?linkid=870924
Comment:
    Eq 39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tc={289032C5-5278-40FB-B47B-4B237B73F0BE}</author>
  </authors>
  <commentList>
    <comment ref="A37" authorId="0" shapeId="0" xr:uid="{289032C5-5278-40FB-B47B-4B237B73F0BE}">
      <text>
        <t>[Threaded comment]
Your version of Excel allows you to read this threaded comment; however, any edits to it will get removed if the file is opened in a newer version of Excel. Learn more: https://go.microsoft.com/fwlink/?linkid=870924
Comment:
    Equation A2</t>
      </text>
    </comment>
  </commentList>
</comments>
</file>

<file path=xl/sharedStrings.xml><?xml version="1.0" encoding="utf-8"?>
<sst xmlns="http://schemas.openxmlformats.org/spreadsheetml/2006/main" count="899" uniqueCount="245">
  <si>
    <t>Net GHG Emission Reductions and Removals</t>
  </si>
  <si>
    <t>Net GHG removals due to the project activity up to year 𝑇 (t CO2e)</t>
  </si>
  <si>
    <t>Net GHG removals in the project scenario up to year 𝑇 (t CO2e)</t>
  </si>
  <si>
    <t>Leakage discount factor (%)</t>
  </si>
  <si>
    <t>Uncertainty (%)</t>
  </si>
  <si>
    <t>Net GHG removals by biomass carbon pools in the project scenario up to year 𝑇 (t CO2e)</t>
  </si>
  <si>
    <t>Net GHG emissions due to biomass burning in the project scenario up to year T (t CO2e)</t>
  </si>
  <si>
    <t>Net GHG emissions from nitrogen fertilizer in the project scenario up to year 𝑇 (t CO2e)</t>
  </si>
  <si>
    <t>Change in carbon stock in biomass carbon pools in the project scenario in 2018 (t C y -1)</t>
  </si>
  <si>
    <t>Change in carbon stock in biomass carbon pools in the project scenario in 2019 (t C y -1)</t>
  </si>
  <si>
    <t>Change in carbon stock in biomass carbon pools in the project scenario in 2020 (t C y -1)</t>
  </si>
  <si>
    <t>Change in carbon stock in biomass carbon pools in the project scenario in 2021 (t C y -1)</t>
  </si>
  <si>
    <t>Change in carbon stock in biomass carbon pools in the project scenario in 2022 (t C y -1)</t>
  </si>
  <si>
    <t>Net GHG emissions due to biomass burning in the project scenario in year 2018 (t CO2e y -1)</t>
  </si>
  <si>
    <t>Net GHG emissions due to biomass burning in the project scenario in year 2019 (t CO2e y -1)</t>
  </si>
  <si>
    <t>Net GHG emissions due to biomass burning in the project scenario in year 2020 (t CO2e y -1)</t>
  </si>
  <si>
    <t>Net GHG emissions due to biomass burning in the project scenario in year 2021 (t CO2e y -1)</t>
  </si>
  <si>
    <t>Net GHG emissions due to biomass burning in the project scenario in year 2022 (t CO2e y -1)</t>
  </si>
  <si>
    <t>Net GHG emissions from nitrogen fertilizer in the project scenario in year 2018 (t CO2e y-1)</t>
  </si>
  <si>
    <t>Average annual change in carbon stock in woody biomass in the project scenario in the monitoring interval ending in year 2018 (t C y-1 )</t>
  </si>
  <si>
    <t>Average annual change in carbon stock in herbaceous biomass in the project scenario in the monitoring interval ending in year 2018 (t C y-1 )</t>
  </si>
  <si>
    <t>Average annual change in carbon stock in woody biomass in the project scenario in the monitoring interval ending in year 2019 (t C y-1 )</t>
  </si>
  <si>
    <t>Average annual change in carbon stock in herbaceous biomass in the project scenario in the monitoring interval ending in year 2019 (t C y-1 )</t>
  </si>
  <si>
    <t>Average annual change in carbon stock in woody biomass in the project scenario in the monitoring interval ending in year 2020 (t C y-1 )</t>
  </si>
  <si>
    <t>Average annual change in carbon stock in herbaceous biomass in the project scenario in the monitoring interval ending in year 2020 (t C y-1 )</t>
  </si>
  <si>
    <t>Average annual change in carbon stock in woody biomass in the project scenario in the monitoring interval ending in year 2021 (t C y-1 )</t>
  </si>
  <si>
    <t>Average annual change in carbon stock in herbaceous biomass in the project scenario in the monitoring interval ending in year 2021 (t C y-1 )</t>
  </si>
  <si>
    <t>Average annual change in carbon stock in woody biomass in the project scenario in the monitoring interval ending in year 2022 (t C y-1 )</t>
  </si>
  <si>
    <t>Average annual change in carbon stock in herbaceous biomass in the project scenario in the monitoring interval ending in year 2022 (t C y-1 )</t>
  </si>
  <si>
    <t>Area (per stratum, if applicable) in year 𝑡 (ha)</t>
  </si>
  <si>
    <t>Length of monitoring interval ending in year 2018 (y)</t>
  </si>
  <si>
    <t>Start of the project activity (y)</t>
  </si>
  <si>
    <t>Length of monitoring interval ending in year 2019 (y)</t>
  </si>
  <si>
    <t>Length of monitoring interval ending in year 2020 (y)</t>
  </si>
  <si>
    <t>Length of monitoring interval ending in year 2021(y)</t>
  </si>
  <si>
    <t>Length of monitoring interval ending in year 2022 (y)</t>
  </si>
  <si>
    <t>Carbon stock in woody biomass in year 2018 (t C ha-1)</t>
  </si>
  <si>
    <t>Carbon stock in woody biomass in year 2019 (t C ha-1)</t>
  </si>
  <si>
    <t>Carbon stock in woody biomass in year 2020 (t C ha-1)</t>
  </si>
  <si>
    <t>Carbon stock in woody biomass in year 2021 (t C ha-1)</t>
  </si>
  <si>
    <t>Carbon stock in woody biomass in year 2022 (t C ha-1)</t>
  </si>
  <si>
    <t>Carbon stock in herbaceous biomass in the project scenario in year 2018 (t C ha-1 )</t>
  </si>
  <si>
    <t>Carbon stock in herbaceous biomass in the project scenario in year 2019 (t C ha-1 )</t>
  </si>
  <si>
    <t>Carbon stock in herbaceous biomass in the project scenario in year 2020 (t C ha-1 )</t>
  </si>
  <si>
    <t>Carbon stock in herbaceous biomass in the project scenario in year 2021 (t C ha-1 )</t>
  </si>
  <si>
    <t>Project Scenario (Biomass Carbon Pools)</t>
  </si>
  <si>
    <t>Project Scenario (Biomass Burning)</t>
  </si>
  <si>
    <t>Project Scenario (Nitrogen Fertilizer)</t>
  </si>
  <si>
    <t>Area burnt in year 2018 (ha)</t>
  </si>
  <si>
    <t>Area burnt in year 2019 (ha)</t>
  </si>
  <si>
    <t>Area burnt in year 2020 (ha)</t>
  </si>
  <si>
    <t>Area burnt in year 2021 (ha)</t>
  </si>
  <si>
    <t>Area burnt in year 2022 (ha)</t>
  </si>
  <si>
    <t>Global warming potential for CH4</t>
  </si>
  <si>
    <t>Global warming potential for N2O</t>
  </si>
  <si>
    <t>Emission factor for CH4</t>
  </si>
  <si>
    <t>Emission factor for N2O</t>
  </si>
  <si>
    <t xml:space="preserve">Combustion factor </t>
  </si>
  <si>
    <t>Aboveground biomass stock before burning in the project scenario in year 2018 (t dry matter ha-1 )</t>
  </si>
  <si>
    <t>Aboveground biomass stock before burning in the project scenario in year 2019 (t dry matter ha-1 )</t>
  </si>
  <si>
    <t>Aboveground biomass stock before burning in the project scenario in year 2020 (t dry matter ha-1 )</t>
  </si>
  <si>
    <t>Aboveground biomass stock before burning in the project scenario in year 2021 (t dry matter ha-1 )</t>
  </si>
  <si>
    <t>Root to shoot ratio</t>
  </si>
  <si>
    <t>Carbon stock in aboveground woody biomass in the project scenario in year 2018 (t C ha-1 )</t>
  </si>
  <si>
    <t>Carbon stock in aboveground woody biomass in the project scenario in year 2019 (t C ha-1 )</t>
  </si>
  <si>
    <t>Carbon stock in aboveground woody biomass in the project scenario in year 2020 (t C ha-1 )</t>
  </si>
  <si>
    <t>Carbon stock in aboveground woody biomass in the project scenario in year 2021 (t C ha-1 )</t>
  </si>
  <si>
    <t>Carbon stock in aboveground woody biomass in the project scenario in year 2022 (t C ha-1 )</t>
  </si>
  <si>
    <t>Carbon fraction</t>
  </si>
  <si>
    <t>Aboveground biomass stock before burning in the project scenario in year 2022 (t dry matter ha-1 )</t>
  </si>
  <si>
    <t>Area on which nitrogen fertilizer is applied in year 2018 (ha)</t>
  </si>
  <si>
    <t>Area on which nitrogen fertilizer is applied in year 2019 (ha)</t>
  </si>
  <si>
    <t>Area on which nitrogen fertilizer is applied in year 2020 (ha)</t>
  </si>
  <si>
    <t>Area on which nitrogen fertilizer is applied in year 2021 (ha)</t>
  </si>
  <si>
    <t>Area on which nitrogen fertilizer is applied in year 2022 (ha)</t>
  </si>
  <si>
    <t>Direct nitrous oxide emissions due to fertilizer use in the project scenario in year 𝑡 (t CO2e ha-1 )</t>
  </si>
  <si>
    <t>Emission factor for nitrous oxide emissions from N additions from synthetic fertilizers, organic amendments, and crop residues (t N2O-N t N applied-1 )</t>
  </si>
  <si>
    <t>Fraction of all synthetic N added to soils that volatilizes as NH3 and Nox (dimensionless)</t>
  </si>
  <si>
    <t>Fraction of all organic N added to soils that volatilizes as NH3 and Nox (dimensionless)</t>
  </si>
  <si>
    <t>Fraction of N (synthetic and organic) added to soils that is lost through leaching and runoff, in regions where leaching and runoff occurs (dimensionless)</t>
  </si>
  <si>
    <t>Emission factor for nitrous oxide emissions from atmospheric deposition of N on soils and water surfaces (t N2O-N (t NH3-N + NOx-N volatilized)-1 )</t>
  </si>
  <si>
    <t>Emission factor for nitrous oxide emissions from leaching and runoff (t N2ON t N-1 leached and runoff)</t>
  </si>
  <si>
    <t>Mass of synthetic fertilizer containing N applied in the project scenario in year 2018 (t fertilizer ha-1)</t>
  </si>
  <si>
    <t>N content of synthetic fertilizer applied in the project scenario in year 2018 (t N t fertilizer-1 )</t>
  </si>
  <si>
    <t>Mass of organic fertilizer containing N applied in the project scenario in year 2018 (t fertilizer ha-1)</t>
  </si>
  <si>
    <t>N content of organic fertilizer applied in the project scenario in year 2018 (t N t fertilizer-1 )</t>
  </si>
  <si>
    <t>Synthetic N fertilizer applied in the project scenario in year 2018 (t N ha-1 )</t>
  </si>
  <si>
    <t>Organic N fertilizer applied in the project scenario in year 2018 (t N ha-1 )</t>
  </si>
  <si>
    <t>Synthetic N fertilizer applied in the project scenario in year 2018 (t N ha-1)</t>
  </si>
  <si>
    <t>Organic N fertilizer applied in the project scenario in year 2018 (t N ha-1)</t>
  </si>
  <si>
    <t>Indirect nitrous oxide emissions produced from atmospheric deposition of N volatilized due to nitrogen fertilizer use in the project scenario in year 2018 (t CO2e ha-1 )</t>
  </si>
  <si>
    <t>Indirect nitrous oxide emissions due to fertilizer use in the project scenario in the monitoring period ending in year 2018 (t CO2e ha-1 )</t>
  </si>
  <si>
    <t>Mass of synthetic fertilizer containing N applied in the project scenario in year 2019  (t fertilizer ha-1)</t>
  </si>
  <si>
    <t>N content of synthetic fertilizer applied in the project scenario in year 2019  (t N t fertilizer-1 )</t>
  </si>
  <si>
    <t>Mass of organic fertilizer containing N applied in the project scenario in year 2019  (t fertilizer ha-1)</t>
  </si>
  <si>
    <t>N content of organic fertilizer applied in the project scenario in year 2019  (t N t fertilizer-1 )</t>
  </si>
  <si>
    <t>Synthetic N fertilizer applied in the project scenario in year 2019  (t N ha-1 )</t>
  </si>
  <si>
    <t>Organic N fertilizer applied in the project scenario in year 2019  (t N ha-1 )</t>
  </si>
  <si>
    <t>Direct nitrous oxide emissions due to fertilizer use in the project scenario in year 2019  (t CO2e ha-1 )</t>
  </si>
  <si>
    <t>Synthetic N fertilizer applied in the project scenario in year 2019  (t N ha-1)</t>
  </si>
  <si>
    <t>Organic N fertilizer applied in the project scenario in year 2019  (t N ha-1)</t>
  </si>
  <si>
    <t>Indirect nitrous oxide emissions produced from atmospheric deposition of N volatilized due to nitrogen fertilizer use in the project scenario in year 2019  (t CO2e ha-1 )</t>
  </si>
  <si>
    <t>Indirect nitrous oxide emissions produced from leaching and runoff of N, in regions where leaching and runoff occurs, due to nitrogen fertilizer use in the project scenario in year 2019  (t CO2e ha-1 ). Value = 0 where average annual precipitation is less than potential evapotranspiration, unless subject to irrigation</t>
  </si>
  <si>
    <t>Indirect nitrous oxide emissions due to fertilizer use in the project scenario in the monitoring period ending in year 2019  (t CO2e ha-1 )</t>
  </si>
  <si>
    <t>Net GHG emissions from nitrogen fertilizer in the project scenario in year 2019  (t CO2e y-1)</t>
  </si>
  <si>
    <t>Mass of synthetic fertilizer containing N applied in the project scenario in year 2020  (t fertilizer ha-1)</t>
  </si>
  <si>
    <t>N content of synthetic fertilizer applied in the project scenario in year 2020  (t N t fertilizer-1 )</t>
  </si>
  <si>
    <t>Mass of organic fertilizer containing N applied in the project scenario in year 2020  (t fertilizer ha-1)</t>
  </si>
  <si>
    <t>N content of organic fertilizer applied in the project scenario in year 2020  (t N t fertilizer-1 )</t>
  </si>
  <si>
    <t>Synthetic N fertilizer applied in the project scenario in year 2020  (t N ha-1 )</t>
  </si>
  <si>
    <t>Organic N fertilizer applied in the project scenario in year 2020  (t N ha-1 )</t>
  </si>
  <si>
    <t>Direct nitrous oxide emissions due to fertilizer use in the project scenario in year 2020  (t CO2e ha-1 )</t>
  </si>
  <si>
    <t>Synthetic N fertilizer applied in the project scenario in year 2020  (t N ha-1)</t>
  </si>
  <si>
    <t>Organic N fertilizer applied in the project scenario in year 2020  (t N ha-1)</t>
  </si>
  <si>
    <t>Indirect nitrous oxide emissions produced from atmospheric deposition of N volatilized due to nitrogen fertilizer use in the project scenario in year 2020  (t CO2e ha-1 )</t>
  </si>
  <si>
    <t>Indirect nitrous oxide emissions produced from leaching and runoff of N, in regions where leaching and runoff occurs, due to nitrogen fertilizer use in the project scenario in year 2020  (t CO2e ha-1 ). Value = 0 where average annual precipitation is less than potential evapotranspiration, unless subject to irrigation</t>
  </si>
  <si>
    <t>Indirect nitrous oxide emissions due to fertilizer use in the project scenario in the monitoring period ending in year 2020  (t CO2e ha-1 )</t>
  </si>
  <si>
    <t>Net GHG emissions from nitrogen fertilizer in the project scenario in year 2020  (t CO2e y-1)</t>
  </si>
  <si>
    <t>Mass of synthetic fertilizer containing N applied in the project scenario in year 2021  (t fertilizer ha-1)</t>
  </si>
  <si>
    <t>N content of synthetic fertilizer applied in the project scenario in year 2021  (t N t fertilizer-1 )</t>
  </si>
  <si>
    <t>Mass of organic fertilizer containing N applied in the project scenario in year 2021  (t fertilizer ha-1)</t>
  </si>
  <si>
    <t>N content of organic fertilizer applied in the project scenario in year 2021  (t N t fertilizer-1 )</t>
  </si>
  <si>
    <t>Synthetic N fertilizer applied in the project scenario in year 2021  (t N ha-1 )</t>
  </si>
  <si>
    <t>Organic N fertilizer applied in the project scenario in year 2021  (t N ha-1 )</t>
  </si>
  <si>
    <t>Direct nitrous oxide emissions due to fertilizer use in the project scenario in year 2021  (t CO2e ha-1 )</t>
  </si>
  <si>
    <t>Synthetic N fertilizer applied in the project scenario in year 2021  (t N ha-1)</t>
  </si>
  <si>
    <t>Organic N fertilizer applied in the project scenario in year 2021  (t N ha-1)</t>
  </si>
  <si>
    <t>Indirect nitrous oxide emissions produced from atmospheric deposition of N volatilized due to nitrogen fertilizer use in the project scenario in year 2021  (t CO2e ha-1 )</t>
  </si>
  <si>
    <t>Indirect nitrous oxide emissions produced from leaching and runoff of N, in regions where leaching and runoff occurs, due to nitrogen fertilizer use in the project scenario in year 2021  (t CO2e ha-1 ). Value = 0 where average annual precipitation is less than potential evapotranspiration, unless subject to irrigation</t>
  </si>
  <si>
    <t>Indirect nitrous oxide emissions due to fertilizer use in the project scenario in the monitoring period ending in year 2021  (t CO2e ha-1 )</t>
  </si>
  <si>
    <t>Net GHG emissions from nitrogen fertilizer in the project scenario in year 2021  (t CO2e y-1)</t>
  </si>
  <si>
    <t>Mass of synthetic fertilizer containing N applied in the project scenario in year 2022  (t fertilizer ha-1)</t>
  </si>
  <si>
    <t>N content of synthetic fertilizer applied in the project scenario in year 2022  (t N t fertilizer-1 )</t>
  </si>
  <si>
    <t>Mass of organic fertilizer containing N applied in the project scenario in year 2022  (t fertilizer ha-1)</t>
  </si>
  <si>
    <t>N content of organic fertilizer applied in the project scenario in year 2022  (t N t fertilizer-1 )</t>
  </si>
  <si>
    <t>Synthetic N fertilizer applied in the project scenario in year 2022  (t N ha-1 )</t>
  </si>
  <si>
    <t>Organic N fertilizer applied in the project scenario in year 2022  (t N ha-1 )</t>
  </si>
  <si>
    <t>Direct nitrous oxide emissions due to fertilizer use in the project scenario in year 2022  (t CO2e ha-1 )</t>
  </si>
  <si>
    <t>Synthetic N fertilizer applied in the project scenario in year 2022  (t N ha-1)</t>
  </si>
  <si>
    <t>Organic N fertilizer applied in the project scenario in year 2022  (t N ha-1)</t>
  </si>
  <si>
    <t>Indirect nitrous oxide emissions produced from atmospheric deposition of N volatilized due to nitrogen fertilizer use in the project scenario in year 2022  (t CO2e ha-1 )</t>
  </si>
  <si>
    <t>Indirect nitrous oxide emissions produced from leaching and runoff of N, in regions where leaching and runoff occurs, due to nitrogen fertilizer use in the project scenario in year 2022 (t CO2e ha-1 ). Value = 0 where average annual precipitation is less than potential evapotranspiration, unless subject to irrigation</t>
  </si>
  <si>
    <t>Indirect nitrous oxide emissions due to fertilizer use in the project scenario in the monitoring period ending in year 2022  (t CO2e ha-1 )</t>
  </si>
  <si>
    <t>Net GHG emissions from nitrogen fertilizer in the project scenario in year 2022  (t CO2e y-1)</t>
  </si>
  <si>
    <t>Performance benchmark applicable from year 2018 through year 2022 (%)</t>
  </si>
  <si>
    <t>Time elapsed since project start date (y)</t>
  </si>
  <si>
    <t>Year of last evaluation (every 5 years)</t>
  </si>
  <si>
    <t>Increase in average estimated vegetative stocking (EVS) in the project area, in the interval from 2018 to 2022</t>
  </si>
  <si>
    <t xml:space="preserve">Plot </t>
  </si>
  <si>
    <t>𝑬𝑽𝑺𝒊,𝒕 = −5 (2013) (%)</t>
  </si>
  <si>
    <t>𝚫𝑬𝑽𝑺𝒄𝒐𝒏𝒕𝒓𝒐𝒍,𝒊,𝒕 = 2018 (%)</t>
  </si>
  <si>
    <t>𝑬𝑽𝑺𝒊,𝒕 = 0 (2018) (%)</t>
  </si>
  <si>
    <t>𝚫𝑬𝑽𝑺𝒄𝒐𝒏𝒕𝒓𝒐𝒍,t</t>
  </si>
  <si>
    <t>𝚫𝑬𝑽𝑺𝑾𝑷,t</t>
  </si>
  <si>
    <t>𝑷𝑩, t</t>
  </si>
  <si>
    <t xml:space="preserve">Project Area </t>
  </si>
  <si>
    <t>T=-5</t>
  </si>
  <si>
    <t>Increase in estimated vegetative stocking (EVS) in control plot 1 in the interval from 2013 to 2018</t>
  </si>
  <si>
    <t>Increase in estimated vegetative stocking (EVS) in control plot 2 in the interval from 2013 to 2018</t>
  </si>
  <si>
    <t>Number if control plots (n)</t>
  </si>
  <si>
    <t>Estimated vegetative stocking (EVS) in control plot 1, in 2013</t>
  </si>
  <si>
    <t>Estimated vegetative stocking (EVS) in control plot 1, in 2018</t>
  </si>
  <si>
    <t>Estimated vegetative stocking (EVS) in control plot 2, in 2013</t>
  </si>
  <si>
    <t>Estimated vegetative stocking (EVS) in control plot 2, in 2018</t>
  </si>
  <si>
    <t>Estimated vegetative stocking (EVS) in the project area in 2018</t>
  </si>
  <si>
    <t>Estimated vegetative stocking (EVS) in the project area in 2022</t>
  </si>
  <si>
    <t>Baseline Scenario (Performance Benchmark)</t>
  </si>
  <si>
    <t>Relative productivity</t>
  </si>
  <si>
    <t>Average project area used for agricultural commodity, soy</t>
  </si>
  <si>
    <t>Average project area used for agricultural commodity, corn</t>
  </si>
  <si>
    <t>Total number of agricultural commodities</t>
  </si>
  <si>
    <t>Relative productivity for agricultural commodity, soy</t>
  </si>
  <si>
    <t>Relative productivity for agricultural commodity, corn</t>
  </si>
  <si>
    <t>Project area productivity for agricultural commodity soy prior to project start (average productivity in the three years prior to the project start)</t>
  </si>
  <si>
    <t>Project area productivity for agricultural commodity corn prior to project start (average productivity in the three years prior to the project start)</t>
  </si>
  <si>
    <t>National productivity for agricultural commodity soy (average productivity in the three years prior to the project start)</t>
  </si>
  <si>
    <t>National productivity for agricultural commodity corn (average productivity in the three years prior to the project start)</t>
  </si>
  <si>
    <t>Herbaceous biomass in the project scenario in year 2018 (t dry matter ha-1 )</t>
  </si>
  <si>
    <t>Herbaceous biomass in the project scenario in year 2019 (t dry matter ha-1 )</t>
  </si>
  <si>
    <t>Herbaceous biomass in the project scenario in year 2020 (t dry matter ha-1 )</t>
  </si>
  <si>
    <t>Herbaceous biomass in the project scenario in year 2021 (t dry matter ha-1 )</t>
  </si>
  <si>
    <t>Herbaceous biomass in the project scenario in year 2022 (t dry matter ha-1 )</t>
  </si>
  <si>
    <t>Carbon stock in herbaceous biomass in the project scenario in year 2022 (t C ha-1 )</t>
  </si>
  <si>
    <t>Question</t>
  </si>
  <si>
    <t>Allow Multiple Answers</t>
  </si>
  <si>
    <t>Required Field</t>
  </si>
  <si>
    <t>Schema Type</t>
  </si>
  <si>
    <t>Project Details</t>
  </si>
  <si>
    <t>Number</t>
  </si>
  <si>
    <t>Auto-Calculate</t>
  </si>
  <si>
    <t>Yes</t>
  </si>
  <si>
    <t>No</t>
  </si>
  <si>
    <t>Answer</t>
  </si>
  <si>
    <t>String</t>
  </si>
  <si>
    <t>Summary of the Project Description</t>
  </si>
  <si>
    <t>Project Scope</t>
  </si>
  <si>
    <t>Project Category</t>
  </si>
  <si>
    <t>Type of Activity</t>
  </si>
  <si>
    <t>Project Eligibility</t>
  </si>
  <si>
    <t xml:space="preserve">The project activity would not occur or be financially attractive without the income associated with the sale of VCUs. The land qualifies as a crop land and would be degraded over time if not for this project. </t>
  </si>
  <si>
    <t>Project Proponent Organization Name</t>
  </si>
  <si>
    <t>Name</t>
  </si>
  <si>
    <t>Project Proponent Contact Person</t>
  </si>
  <si>
    <t>John Doe</t>
  </si>
  <si>
    <t xml:space="preserve">Project Proponent Title </t>
  </si>
  <si>
    <t xml:space="preserve">Owner </t>
  </si>
  <si>
    <t>Address</t>
  </si>
  <si>
    <t xml:space="preserve">Project Proponent Address </t>
  </si>
  <si>
    <t xml:space="preserve">Kenya </t>
  </si>
  <si>
    <t>Phone Number</t>
  </si>
  <si>
    <t xml:space="preserve">Project Proponent Telephone </t>
  </si>
  <si>
    <t>Email</t>
  </si>
  <si>
    <t>Project Proponent Email</t>
  </si>
  <si>
    <t>JD@XYZagriculture.com</t>
  </si>
  <si>
    <t>Evidence of Ownership</t>
  </si>
  <si>
    <t xml:space="preserve">Legal title to land </t>
  </si>
  <si>
    <t>Participation under other GHG Programs</t>
  </si>
  <si>
    <t>Other Forms of Environmental Credit</t>
  </si>
  <si>
    <t>Title and Reference of Methodologies</t>
  </si>
  <si>
    <t>Description of Project Area</t>
  </si>
  <si>
    <t>The project is within Kenya in a combined area of 1000 ha</t>
  </si>
  <si>
    <t>Image</t>
  </si>
  <si>
    <t>Maps of the Project Area</t>
  </si>
  <si>
    <t>Image Upload</t>
  </si>
  <si>
    <t>Carbon Pools</t>
  </si>
  <si>
    <t>Above Ground Woody Biomass</t>
  </si>
  <si>
    <t>GHG Sources</t>
  </si>
  <si>
    <t>Use of Nitrogen Fertilizers</t>
  </si>
  <si>
    <t>Monitoring Plan</t>
  </si>
  <si>
    <t>Default Values</t>
  </si>
  <si>
    <t>Biomass Burning</t>
  </si>
  <si>
    <t>Monitoring plan was structured based on VMXXX criteria</t>
  </si>
  <si>
    <t>VMXXX Methodology for Afforestation, Reforestation, and Revegetation Projects</t>
  </si>
  <si>
    <t>(555) 222-3131</t>
  </si>
  <si>
    <t>X Agricultural Project</t>
  </si>
  <si>
    <t xml:space="preserve">GHG removals with the implementation of afforestation, reforestation, and revegetation activities </t>
  </si>
  <si>
    <t>Project Category: Afforestation, Reforestation, and Revegetation</t>
  </si>
  <si>
    <t>Project Scope 14: Afforestation and Reforestation</t>
  </si>
  <si>
    <t>Grassland in Kenya with afforestation, reforestation and revegetation projects</t>
  </si>
  <si>
    <t>AR-ACM0003: A/R Large-scale Consolidated Methodology – Afforestation and reforestation of lands except wetlands, v.02.0</t>
  </si>
  <si>
    <t>Tool for testing significance of GHG emissions in A/R CDM project activities, v.01</t>
  </si>
  <si>
    <t>AR-TOOL16: A/R Methodological Tool – Tool for estimation of change in soil organic carbon stocks due to the implementation of A/R CDM project activities, v.01.1.0</t>
  </si>
  <si>
    <t>VT0001 Tool for the Demonstration and Assessment of Additionality in VCS Agriculture, Forestry and Other Land Use (AFOLU) Project Activities</t>
  </si>
  <si>
    <r>
      <t>U</t>
    </r>
    <r>
      <rPr>
        <vertAlign val="subscript"/>
        <sz val="11"/>
        <color theme="1"/>
        <rFont val="Calibri"/>
        <family val="2"/>
        <scheme val="minor"/>
      </rPr>
      <t>p</t>
    </r>
    <r>
      <rPr>
        <sz val="11"/>
        <color theme="1"/>
        <rFont val="Calibri"/>
        <family val="2"/>
        <scheme val="minor"/>
      </rPr>
      <t xml:space="preserve"> Woody (%)</t>
    </r>
  </si>
  <si>
    <r>
      <t>U</t>
    </r>
    <r>
      <rPr>
        <vertAlign val="subscript"/>
        <sz val="11"/>
        <color theme="1"/>
        <rFont val="Calibri"/>
        <family val="2"/>
        <scheme val="minor"/>
      </rPr>
      <t xml:space="preserve">p </t>
    </r>
    <r>
      <rPr>
        <sz val="11"/>
        <color theme="1"/>
        <rFont val="Calibri"/>
        <family val="2"/>
        <scheme val="minor"/>
      </rPr>
      <t>Herb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</si>
</sst>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sz val="8"/>
      <name val="Calibri"/>
      <family val="2"/>
      <scheme val="minor"/>
    </font>
    <font>
      <sz val="14"/>
      <color theme="1"/>
      <name val="Calibri"/>
      <family val="2"/>
      <scheme val="minor"/>
    </font>
    <font>
      <u/>
      <sz val="11"/>
      <color theme="10"/>
      <name val="Calibri"/>
      <family val="2"/>
      <scheme val="minor"/>
    </font>
    <font>
      <sz val="11"/>
      <color theme="1"/>
      <name val="Calibri"/>
      <family val="2"/>
      <scheme val="minor"/>
    </font>
    <font>
      <vertAlign val="subscrip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right/>
      <top style="medium">
        <color auto="1"/>
      </top>
      <bottom/>
      <diagonal/>
    </border>
    <border>
      <left/>
      <right/>
      <top/>
      <bottom style="medium">
        <color auto="1"/>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44">
    <xf numFmtId="0" fontId="0" fillId="0" borderId="0" xfId="0"/>
    <xf numFmtId="0" fontId="0" fillId="3" borderId="0" xfId="0" applyFill="1"/>
    <xf numFmtId="0" fontId="1" fillId="3" borderId="0" xfId="0" applyFont="1" applyFill="1"/>
    <xf numFmtId="0" fontId="4" fillId="2" borderId="0" xfId="0" applyFont="1" applyFill="1"/>
    <xf numFmtId="0" fontId="0" fillId="0" borderId="0" xfId="0" applyAlignment="1">
      <alignment horizontal="left"/>
    </xf>
    <xf numFmtId="0" fontId="4" fillId="2" borderId="0" xfId="0" applyFont="1" applyFill="1" applyAlignment="1">
      <alignment horizontal="left"/>
    </xf>
    <xf numFmtId="0" fontId="1" fillId="3" borderId="0" xfId="0" applyFont="1" applyFill="1" applyAlignment="1">
      <alignment horizontal="left" wrapText="1"/>
    </xf>
    <xf numFmtId="0" fontId="1" fillId="3" borderId="0" xfId="0" applyFont="1" applyFill="1" applyAlignment="1">
      <alignment horizontal="left"/>
    </xf>
    <xf numFmtId="0" fontId="3" fillId="3" borderId="0" xfId="0" applyFont="1" applyFill="1" applyAlignment="1">
      <alignment horizontal="left" wrapText="1"/>
    </xf>
    <xf numFmtId="0" fontId="0" fillId="4" borderId="0" xfId="0" applyFill="1" applyAlignment="1">
      <alignment horizontal="left"/>
    </xf>
    <xf numFmtId="0" fontId="0" fillId="4" borderId="0" xfId="0" applyFill="1"/>
    <xf numFmtId="0" fontId="0" fillId="3" borderId="0" xfId="0" applyFill="1" applyAlignment="1">
      <alignment horizontal="left"/>
    </xf>
    <xf numFmtId="0" fontId="0" fillId="0" borderId="1" xfId="0" applyBorder="1" applyAlignment="1">
      <alignment horizontal="left"/>
    </xf>
    <xf numFmtId="0" fontId="1" fillId="0" borderId="1" xfId="0" applyFont="1" applyBorder="1"/>
    <xf numFmtId="0" fontId="0" fillId="0" borderId="1" xfId="0" applyBorder="1"/>
    <xf numFmtId="0" fontId="0" fillId="0" borderId="1" xfId="0" applyBorder="1" applyAlignment="1">
      <alignment horizontal="left" wrapText="1"/>
    </xf>
    <xf numFmtId="0" fontId="2" fillId="0" borderId="0" xfId="0" applyFont="1" applyAlignment="1">
      <alignment horizontal="left"/>
    </xf>
    <xf numFmtId="0" fontId="2" fillId="0" borderId="1" xfId="0" applyFont="1" applyBorder="1" applyAlignment="1">
      <alignment horizontal="left"/>
    </xf>
    <xf numFmtId="0" fontId="2" fillId="3" borderId="0" xfId="0" applyFont="1" applyFill="1" applyAlignment="1">
      <alignment horizontal="left"/>
    </xf>
    <xf numFmtId="0" fontId="2" fillId="3" borderId="0" xfId="0" applyFont="1" applyFill="1" applyAlignment="1">
      <alignment horizontal="left" wrapText="1"/>
    </xf>
    <xf numFmtId="0" fontId="1" fillId="3" borderId="1" xfId="0" applyFont="1" applyFill="1" applyBorder="1" applyAlignment="1">
      <alignment horizontal="left"/>
    </xf>
    <xf numFmtId="0" fontId="1" fillId="3" borderId="1" xfId="0" applyFont="1" applyFill="1" applyBorder="1"/>
    <xf numFmtId="0" fontId="0" fillId="4" borderId="1" xfId="0" applyFill="1" applyBorder="1"/>
    <xf numFmtId="0" fontId="1" fillId="4" borderId="2" xfId="0" applyFont="1" applyFill="1" applyBorder="1" applyAlignment="1">
      <alignment horizontal="left"/>
    </xf>
    <xf numFmtId="0" fontId="0" fillId="4" borderId="2" xfId="0" applyFill="1" applyBorder="1"/>
    <xf numFmtId="0" fontId="0" fillId="4" borderId="1" xfId="0" applyFill="1" applyBorder="1" applyAlignment="1">
      <alignment horizontal="left"/>
    </xf>
    <xf numFmtId="0" fontId="0" fillId="2" borderId="0" xfId="0" applyFill="1"/>
    <xf numFmtId="1" fontId="0" fillId="0" borderId="0" xfId="0" applyNumberFormat="1"/>
    <xf numFmtId="0" fontId="0" fillId="2" borderId="0" xfId="0" applyFill="1" applyAlignment="1">
      <alignment horizontal="left"/>
    </xf>
    <xf numFmtId="10" fontId="0" fillId="0" borderId="0" xfId="0" applyNumberFormat="1"/>
    <xf numFmtId="10" fontId="0" fillId="4" borderId="2" xfId="0" applyNumberFormat="1" applyFill="1" applyBorder="1"/>
    <xf numFmtId="0" fontId="1" fillId="3" borderId="2" xfId="0" applyFont="1" applyFill="1" applyBorder="1" applyAlignment="1">
      <alignment horizontal="left"/>
    </xf>
    <xf numFmtId="0" fontId="0" fillId="3" borderId="2" xfId="0" applyFill="1" applyBorder="1"/>
    <xf numFmtId="0" fontId="4" fillId="0" borderId="0" xfId="0" applyFont="1"/>
    <xf numFmtId="0" fontId="4" fillId="0" borderId="0" xfId="0" applyFont="1" applyAlignment="1">
      <alignment horizontal="left"/>
    </xf>
    <xf numFmtId="0" fontId="6" fillId="2" borderId="0" xfId="0" applyFont="1" applyFill="1" applyAlignment="1">
      <alignment horizontal="left"/>
    </xf>
    <xf numFmtId="0" fontId="0" fillId="3" borderId="1" xfId="0" applyFill="1" applyBorder="1"/>
    <xf numFmtId="0" fontId="0" fillId="3" borderId="2" xfId="0" applyFill="1" applyBorder="1" applyAlignment="1">
      <alignment horizontal="left"/>
    </xf>
    <xf numFmtId="0" fontId="0" fillId="3" borderId="0" xfId="0" applyFill="1" applyAlignment="1">
      <alignment horizontal="left" wrapText="1"/>
    </xf>
    <xf numFmtId="0" fontId="0" fillId="3" borderId="1" xfId="0" applyFill="1" applyBorder="1" applyAlignment="1">
      <alignment horizontal="left"/>
    </xf>
    <xf numFmtId="0" fontId="7" fillId="0" borderId="0" xfId="1"/>
    <xf numFmtId="10" fontId="0" fillId="3" borderId="2" xfId="0" applyNumberFormat="1" applyFill="1" applyBorder="1" applyAlignment="1">
      <alignment horizontal="left"/>
    </xf>
    <xf numFmtId="164" fontId="0" fillId="0" borderId="0" xfId="2" applyNumberFormat="1" applyFont="1" applyAlignment="1">
      <alignment horizontal="left"/>
    </xf>
    <xf numFmtId="164" fontId="0" fillId="3" borderId="0" xfId="2" applyNumberFormat="1" applyFont="1" applyFill="1"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x Pinnola" id="{0D390A33-7453-4AB8-8100-1DF1B6A7FE7B}" userId="6071b2e426a8e48f" providerId="Windows Live"/>
  <person displayName="Jailine Molina" id="{30C264AE-72F2-4BC9-8344-F3CE0E15EF20}"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7" dT="2023-04-07T16:44:55.45" personId="{0D390A33-7453-4AB8-8100-1DF1B6A7FE7B}" id="{6A652F33-CBDA-493F-8384-0F1EEB9682CA}">
    <text>Eq A1</text>
  </threadedComment>
  <threadedComment ref="C58" dT="2023-04-07T16:44:47.53" personId="{0D390A33-7453-4AB8-8100-1DF1B6A7FE7B}" id="{78FBF00E-DE1D-4C9C-8D64-B6F5C69CE3C6}">
    <text>Eq A1</text>
  </threadedComment>
  <threadedComment ref="C60" dT="2023-03-31T20:28:07.71" personId="{0D390A33-7453-4AB8-8100-1DF1B6A7FE7B}" id="{14946931-30B7-49BA-9A06-B058D7279589}">
    <text>Equation A2</text>
  </threadedComment>
  <threadedComment ref="C91" dT="2023-04-07T16:41:02.22" personId="{0D390A33-7453-4AB8-8100-1DF1B6A7FE7B}" id="{0CC2F5CA-9E4A-452B-931C-ABC07729281C}">
    <text>Eq 8</text>
  </threadedComment>
  <threadedComment ref="C92" dT="2023-04-07T16:40:06.14" personId="{0D390A33-7453-4AB8-8100-1DF1B6A7FE7B}" id="{5EF5E9D1-028F-4821-BA24-FE0376E2C221}">
    <text>Eq 7</text>
  </threadedComment>
  <threadedComment ref="C94" dT="2023-04-10T15:28:34.48" personId="{30C264AE-72F2-4BC9-8344-F3CE0E15EF20}" id="{491A9410-0FA7-41E1-A66B-6808E67A1896}">
    <text>Eq 13</text>
  </threadedComment>
  <threadedComment ref="C95" dT="2023-04-07T16:38:01.21" personId="{0D390A33-7453-4AB8-8100-1DF1B6A7FE7B}" id="{3AE12FD5-F154-457C-9CAF-2E1AAAC934CB}">
    <text>Eq 12</text>
  </threadedComment>
  <threadedComment ref="C96" dT="2023-04-07T16:37:06.58" personId="{0D390A33-7453-4AB8-8100-1DF1B6A7FE7B}" id="{8EA7A855-F308-4AAE-B9A0-5C16F0954A81}">
    <text>Eq 6</text>
  </threadedComment>
  <threadedComment ref="C97" dT="2023-04-07T16:36:28.90" personId="{0D390A33-7453-4AB8-8100-1DF1B6A7FE7B}" id="{5BE09800-3B08-4869-9230-56160850BD56}">
    <text>Eq 2</text>
  </threadedComment>
  <threadedComment ref="C112" dT="2023-04-07T16:32:14.19" personId="{0D390A33-7453-4AB8-8100-1DF1B6A7FE7B}" id="{96AF9707-AEC9-4762-B6F2-8ED3B0277EBA}">
    <text>Eq 31</text>
  </threadedComment>
  <threadedComment ref="C113" dT="2023-04-07T16:31:42.00" personId="{0D390A33-7453-4AB8-8100-1DF1B6A7FE7B}" id="{4BB91EAE-1DE8-410C-821B-5903B38B51F5}">
    <text>Eq 30</text>
  </threadedComment>
  <threadedComment ref="C114" dT="2023-04-07T16:30:25.14" personId="{0D390A33-7453-4AB8-8100-1DF1B6A7FE7B}" id="{2631DBC6-E046-4850-9B27-5754670523A0}">
    <text>Eq 4</text>
  </threadedComment>
  <threadedComment ref="C197" dT="2023-04-07T16:26:17.56" personId="{0D390A33-7453-4AB8-8100-1DF1B6A7FE7B}" id="{5236A8EF-B158-46C7-A917-B7FD3A2FF00A}">
    <text>Eq 36</text>
  </threadedComment>
  <threadedComment ref="C198" dT="2023-04-07T16:25:34.21" personId="{0D390A33-7453-4AB8-8100-1DF1B6A7FE7B}" id="{9EAD04C9-46FC-4930-888D-E04D8DCF99C1}">
    <text>Eq 36</text>
  </threadedComment>
  <threadedComment ref="C199" dT="2023-04-07T16:24:15.98" personId="{0D390A33-7453-4AB8-8100-1DF1B6A7FE7B}" id="{D1842BE6-B7D4-410C-AE95-FB042F12A7B4}">
    <text>Eq 36</text>
  </threadedComment>
  <threadedComment ref="C200" dT="2023-04-07T16:23:30.06" personId="{0D390A33-7453-4AB8-8100-1DF1B6A7FE7B}" id="{009E681D-BD82-40EC-B69A-13ACCA905844}">
    <text>Eq 34</text>
  </threadedComment>
  <threadedComment ref="C201" dT="2023-04-07T16:16:08.47" personId="{0D390A33-7453-4AB8-8100-1DF1B6A7FE7B}" id="{3A1A9F02-D17F-4102-8200-DC36A9F018F1}">
    <text>Eq 5</text>
  </threadedComment>
  <threadedComment ref="C202" dT="2023-04-07T16:13:30.70" personId="{0D390A33-7453-4AB8-8100-1DF1B6A7FE7B}" id="{705BA050-E9C6-491B-8E56-0EEBFBEA4F85}">
    <text>Eq 1</text>
  </threadedComment>
  <threadedComment ref="C211" dT="2023-04-07T16:11:34.88" personId="{0D390A33-7453-4AB8-8100-1DF1B6A7FE7B}" id="{3D8D3F2D-79FC-4A9A-914A-890477E760C6}">
    <text>Leakage Module Eq 1</text>
  </threadedComment>
  <threadedComment ref="C212" dT="2023-04-07T16:11:17.19" personId="{0D390A33-7453-4AB8-8100-1DF1B6A7FE7B}" id="{C51B9ADE-379D-456A-BA9C-05926F3ACC76}">
    <text>Leakage Module Eq 1</text>
  </threadedComment>
  <threadedComment ref="C216" dT="2023-04-07T16:11:00.98" personId="{0D390A33-7453-4AB8-8100-1DF1B6A7FE7B}" id="{C622B518-52BE-43A6-81BC-777789F5AD23}">
    <text>Leakage Module Eq 2</text>
  </threadedComment>
  <threadedComment ref="C217" dT="2023-04-07T16:09:53.16" personId="{0D390A33-7453-4AB8-8100-1DF1B6A7FE7B}" id="{861DB8D7-47AA-46EA-B641-B9F6E67F58EA}">
    <text>Leakage Module Table 2</text>
  </threadedComment>
  <threadedComment ref="E217" dT="2023-04-07T15:50:14.07" personId="{0D390A33-7453-4AB8-8100-1DF1B6A7FE7B}" id="{9E86E1C6-DC8A-4364-B150-A3FBC014DF49}">
    <text>Build out the IF/THEN for table 2
https://verra.org/wp-content/uploads/imported/ARR-Leakage-Tool-1.pdf</text>
    <extLst>
      <x:ext xmlns:xltc2="http://schemas.microsoft.com/office/spreadsheetml/2020/threadedcomments2" uri="{F7C98A9C-CBB3-438F-8F68-D28B6AF4A901}">
        <xltc2:checksum>3099781224</xltc2:checksum>
        <xltc2:hyperlink startIndex="35" length="68" url="https://verra.org/wp-content/uploads/imported/ARR-Leakage-Tool-1.pdf"/>
      </x:ext>
    </extLst>
  </threadedComment>
  <threadedComment ref="C218" dT="2023-04-07T16:08:48.25" personId="{0D390A33-7453-4AB8-8100-1DF1B6A7FE7B}" id="{1A93C274-EA51-43C4-AAE0-CD10ACF9CB1C}">
    <text>Eq 39</text>
  </threadedComment>
</ThreadedComments>
</file>

<file path=xl/threadedComments/threadedComment2.xml><?xml version="1.0" encoding="utf-8"?>
<ThreadedComments xmlns="http://schemas.microsoft.com/office/spreadsheetml/2018/threadedcomments" xmlns:x="http://schemas.openxmlformats.org/spreadsheetml/2006/main">
  <threadedComment ref="A37" dT="2023-03-31T20:28:07.71" personId="{0D390A33-7453-4AB8-8100-1DF1B6A7FE7B}" id="{289032C5-5278-40FB-B47B-4B237B73F0BE}">
    <text>Equation A2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XYZagriculture.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19B6-0D22-4AFD-A160-E92F60CA2C05}">
  <dimension ref="A1:E222"/>
  <sheetViews>
    <sheetView tabSelected="1" topLeftCell="A188" workbookViewId="0">
      <selection activeCell="E206" sqref="E206"/>
    </sheetView>
  </sheetViews>
  <sheetFormatPr defaultRowHeight="15" x14ac:dyDescent="0.25"/>
  <cols>
    <col min="1" max="1" width="18.140625" bestFit="1" customWidth="1"/>
    <col min="2" max="2" width="16.140625" bestFit="1" customWidth="1"/>
    <col min="3" max="3" width="134.5703125" style="4" customWidth="1"/>
    <col min="4" max="4" width="29.5703125" style="4" customWidth="1"/>
    <col min="5" max="5" width="187.5703125" bestFit="1" customWidth="1"/>
  </cols>
  <sheetData>
    <row r="1" spans="1:5" s="33" customFormat="1" ht="18.75" x14ac:dyDescent="0.3">
      <c r="A1" s="33" t="s">
        <v>185</v>
      </c>
      <c r="B1" s="33" t="s">
        <v>186</v>
      </c>
      <c r="C1" s="34" t="s">
        <v>183</v>
      </c>
      <c r="D1" s="34" t="s">
        <v>184</v>
      </c>
      <c r="E1" s="33" t="s">
        <v>192</v>
      </c>
    </row>
    <row r="2" spans="1:5" s="26" customFormat="1" ht="18.75" x14ac:dyDescent="0.3">
      <c r="A2" s="5"/>
      <c r="B2" s="35"/>
      <c r="C2" s="5" t="s">
        <v>187</v>
      </c>
      <c r="D2" s="35"/>
      <c r="E2" s="35"/>
    </row>
    <row r="3" spans="1:5" x14ac:dyDescent="0.25">
      <c r="A3" t="s">
        <v>190</v>
      </c>
      <c r="B3" t="s">
        <v>193</v>
      </c>
      <c r="C3" t="s">
        <v>194</v>
      </c>
      <c r="D3" t="s">
        <v>191</v>
      </c>
      <c r="E3" t="s">
        <v>238</v>
      </c>
    </row>
    <row r="4" spans="1:5" x14ac:dyDescent="0.25">
      <c r="A4" t="s">
        <v>190</v>
      </c>
      <c r="B4" t="s">
        <v>193</v>
      </c>
      <c r="C4" t="s">
        <v>195</v>
      </c>
      <c r="D4" t="s">
        <v>191</v>
      </c>
      <c r="E4" t="s">
        <v>237</v>
      </c>
    </row>
    <row r="5" spans="1:5" x14ac:dyDescent="0.25">
      <c r="A5" t="s">
        <v>190</v>
      </c>
      <c r="B5" t="s">
        <v>193</v>
      </c>
      <c r="C5" t="s">
        <v>196</v>
      </c>
      <c r="D5" t="s">
        <v>190</v>
      </c>
      <c r="E5" t="s">
        <v>236</v>
      </c>
    </row>
    <row r="6" spans="1:5" x14ac:dyDescent="0.25">
      <c r="A6" t="s">
        <v>190</v>
      </c>
      <c r="B6" t="s">
        <v>193</v>
      </c>
      <c r="C6" t="s">
        <v>197</v>
      </c>
      <c r="D6" t="s">
        <v>190</v>
      </c>
      <c r="E6" t="s">
        <v>235</v>
      </c>
    </row>
    <row r="7" spans="1:5" x14ac:dyDescent="0.25">
      <c r="A7" t="s">
        <v>190</v>
      </c>
      <c r="B7" t="s">
        <v>193</v>
      </c>
      <c r="C7" t="s">
        <v>198</v>
      </c>
      <c r="D7" t="s">
        <v>191</v>
      </c>
      <c r="E7" t="s">
        <v>199</v>
      </c>
    </row>
    <row r="8" spans="1:5" x14ac:dyDescent="0.25">
      <c r="A8" t="s">
        <v>190</v>
      </c>
      <c r="B8" t="s">
        <v>193</v>
      </c>
      <c r="C8" t="s">
        <v>200</v>
      </c>
      <c r="D8" t="s">
        <v>191</v>
      </c>
      <c r="E8" t="s">
        <v>234</v>
      </c>
    </row>
    <row r="9" spans="1:5" x14ac:dyDescent="0.25">
      <c r="A9" t="s">
        <v>190</v>
      </c>
      <c r="B9" t="s">
        <v>201</v>
      </c>
      <c r="C9" t="s">
        <v>202</v>
      </c>
      <c r="D9" t="s">
        <v>191</v>
      </c>
      <c r="E9" t="s">
        <v>203</v>
      </c>
    </row>
    <row r="10" spans="1:5" x14ac:dyDescent="0.25">
      <c r="A10" t="s">
        <v>190</v>
      </c>
      <c r="B10" t="s">
        <v>193</v>
      </c>
      <c r="C10" t="s">
        <v>204</v>
      </c>
      <c r="D10" t="s">
        <v>191</v>
      </c>
      <c r="E10" t="s">
        <v>205</v>
      </c>
    </row>
    <row r="11" spans="1:5" x14ac:dyDescent="0.25">
      <c r="A11" t="s">
        <v>190</v>
      </c>
      <c r="B11" t="s">
        <v>206</v>
      </c>
      <c r="C11" t="s">
        <v>207</v>
      </c>
      <c r="D11" t="s">
        <v>191</v>
      </c>
      <c r="E11" t="s">
        <v>208</v>
      </c>
    </row>
    <row r="12" spans="1:5" x14ac:dyDescent="0.25">
      <c r="A12" t="s">
        <v>190</v>
      </c>
      <c r="B12" t="s">
        <v>209</v>
      </c>
      <c r="C12" t="s">
        <v>210</v>
      </c>
      <c r="D12" t="s">
        <v>191</v>
      </c>
      <c r="E12" t="s">
        <v>233</v>
      </c>
    </row>
    <row r="13" spans="1:5" x14ac:dyDescent="0.25">
      <c r="A13" t="s">
        <v>190</v>
      </c>
      <c r="B13" t="s">
        <v>211</v>
      </c>
      <c r="C13" t="s">
        <v>212</v>
      </c>
      <c r="D13" t="s">
        <v>191</v>
      </c>
      <c r="E13" s="40" t="s">
        <v>213</v>
      </c>
    </row>
    <row r="14" spans="1:5" x14ac:dyDescent="0.25">
      <c r="A14" t="s">
        <v>190</v>
      </c>
      <c r="B14" t="s">
        <v>193</v>
      </c>
      <c r="C14" t="s">
        <v>214</v>
      </c>
      <c r="D14" t="s">
        <v>191</v>
      </c>
      <c r="E14" t="s">
        <v>215</v>
      </c>
    </row>
    <row r="15" spans="1:5" x14ac:dyDescent="0.25">
      <c r="A15" t="s">
        <v>190</v>
      </c>
      <c r="B15" t="s">
        <v>193</v>
      </c>
      <c r="C15" t="s">
        <v>216</v>
      </c>
      <c r="D15" t="s">
        <v>191</v>
      </c>
      <c r="E15" t="s">
        <v>191</v>
      </c>
    </row>
    <row r="16" spans="1:5" x14ac:dyDescent="0.25">
      <c r="A16" t="s">
        <v>190</v>
      </c>
      <c r="B16" t="s">
        <v>193</v>
      </c>
      <c r="C16" t="s">
        <v>217</v>
      </c>
      <c r="D16" t="s">
        <v>191</v>
      </c>
      <c r="E16" t="s">
        <v>191</v>
      </c>
    </row>
    <row r="17" spans="1:5" x14ac:dyDescent="0.25">
      <c r="A17" t="s">
        <v>190</v>
      </c>
      <c r="B17" t="s">
        <v>193</v>
      </c>
      <c r="C17" t="s">
        <v>218</v>
      </c>
      <c r="D17" t="s">
        <v>190</v>
      </c>
      <c r="E17" t="s">
        <v>232</v>
      </c>
    </row>
    <row r="18" spans="1:5" x14ac:dyDescent="0.25">
      <c r="A18" t="s">
        <v>190</v>
      </c>
      <c r="B18" t="s">
        <v>193</v>
      </c>
      <c r="C18" t="s">
        <v>218</v>
      </c>
      <c r="D18" t="s">
        <v>190</v>
      </c>
      <c r="E18" t="s">
        <v>239</v>
      </c>
    </row>
    <row r="19" spans="1:5" x14ac:dyDescent="0.25">
      <c r="A19" t="s">
        <v>190</v>
      </c>
      <c r="B19" t="s">
        <v>193</v>
      </c>
      <c r="C19" t="s">
        <v>218</v>
      </c>
      <c r="D19" t="s">
        <v>190</v>
      </c>
      <c r="E19" t="s">
        <v>240</v>
      </c>
    </row>
    <row r="20" spans="1:5" x14ac:dyDescent="0.25">
      <c r="A20" t="s">
        <v>190</v>
      </c>
      <c r="B20" t="s">
        <v>193</v>
      </c>
      <c r="C20" t="s">
        <v>218</v>
      </c>
      <c r="D20" t="s">
        <v>190</v>
      </c>
      <c r="E20" t="s">
        <v>241</v>
      </c>
    </row>
    <row r="21" spans="1:5" x14ac:dyDescent="0.25">
      <c r="A21" t="s">
        <v>190</v>
      </c>
      <c r="B21" t="s">
        <v>193</v>
      </c>
      <c r="C21" t="s">
        <v>218</v>
      </c>
      <c r="D21" t="s">
        <v>190</v>
      </c>
      <c r="E21" t="s">
        <v>242</v>
      </c>
    </row>
    <row r="22" spans="1:5" x14ac:dyDescent="0.25">
      <c r="A22" t="s">
        <v>190</v>
      </c>
      <c r="B22" t="s">
        <v>193</v>
      </c>
      <c r="C22" t="s">
        <v>219</v>
      </c>
      <c r="D22" t="s">
        <v>191</v>
      </c>
      <c r="E22" t="s">
        <v>220</v>
      </c>
    </row>
    <row r="23" spans="1:5" x14ac:dyDescent="0.25">
      <c r="A23" t="s">
        <v>190</v>
      </c>
      <c r="B23" t="s">
        <v>221</v>
      </c>
      <c r="C23" t="s">
        <v>222</v>
      </c>
      <c r="D23" t="s">
        <v>190</v>
      </c>
      <c r="E23" t="s">
        <v>223</v>
      </c>
    </row>
    <row r="24" spans="1:5" x14ac:dyDescent="0.25">
      <c r="A24" t="s">
        <v>190</v>
      </c>
      <c r="B24" t="s">
        <v>188</v>
      </c>
      <c r="C24" s="4" t="s">
        <v>29</v>
      </c>
      <c r="D24" s="4" t="s">
        <v>190</v>
      </c>
      <c r="E24" s="4">
        <v>1000</v>
      </c>
    </row>
    <row r="25" spans="1:5" x14ac:dyDescent="0.25">
      <c r="A25" t="s">
        <v>190</v>
      </c>
      <c r="B25" t="s">
        <v>188</v>
      </c>
      <c r="C25" s="4" t="s">
        <v>31</v>
      </c>
      <c r="D25" s="4" t="s">
        <v>190</v>
      </c>
      <c r="E25" s="4">
        <v>2018</v>
      </c>
    </row>
    <row r="26" spans="1:5" x14ac:dyDescent="0.25">
      <c r="A26" t="s">
        <v>190</v>
      </c>
      <c r="B26" t="s">
        <v>188</v>
      </c>
      <c r="C26" s="4" t="s">
        <v>30</v>
      </c>
      <c r="D26" s="4" t="s">
        <v>190</v>
      </c>
      <c r="E26" s="4">
        <v>0</v>
      </c>
    </row>
    <row r="27" spans="1:5" x14ac:dyDescent="0.25">
      <c r="A27" t="s">
        <v>190</v>
      </c>
      <c r="B27" t="s">
        <v>188</v>
      </c>
      <c r="C27" s="4" t="s">
        <v>32</v>
      </c>
      <c r="D27" s="4" t="s">
        <v>190</v>
      </c>
      <c r="E27" s="4">
        <v>1</v>
      </c>
    </row>
    <row r="28" spans="1:5" x14ac:dyDescent="0.25">
      <c r="A28" t="s">
        <v>190</v>
      </c>
      <c r="B28" t="s">
        <v>188</v>
      </c>
      <c r="C28" s="4" t="s">
        <v>33</v>
      </c>
      <c r="D28" s="4" t="s">
        <v>190</v>
      </c>
      <c r="E28" s="4">
        <v>2</v>
      </c>
    </row>
    <row r="29" spans="1:5" x14ac:dyDescent="0.25">
      <c r="A29" t="s">
        <v>190</v>
      </c>
      <c r="B29" t="s">
        <v>188</v>
      </c>
      <c r="C29" s="4" t="s">
        <v>34</v>
      </c>
      <c r="D29" s="4" t="s">
        <v>190</v>
      </c>
      <c r="E29" s="4">
        <v>3</v>
      </c>
    </row>
    <row r="30" spans="1:5" x14ac:dyDescent="0.25">
      <c r="A30" t="s">
        <v>190</v>
      </c>
      <c r="B30" t="s">
        <v>188</v>
      </c>
      <c r="C30" s="4" t="s">
        <v>35</v>
      </c>
      <c r="D30" s="4" t="s">
        <v>190</v>
      </c>
      <c r="E30" s="4">
        <v>4</v>
      </c>
    </row>
    <row r="31" spans="1:5" x14ac:dyDescent="0.25">
      <c r="A31" t="s">
        <v>190</v>
      </c>
      <c r="B31" t="s">
        <v>193</v>
      </c>
      <c r="C31" s="4" t="s">
        <v>224</v>
      </c>
      <c r="D31" s="4" t="s">
        <v>190</v>
      </c>
      <c r="E31" s="4" t="s">
        <v>225</v>
      </c>
    </row>
    <row r="32" spans="1:5" x14ac:dyDescent="0.25">
      <c r="A32" t="s">
        <v>190</v>
      </c>
      <c r="B32" t="s">
        <v>193</v>
      </c>
      <c r="C32" s="4" t="s">
        <v>226</v>
      </c>
      <c r="D32" s="4" t="s">
        <v>190</v>
      </c>
      <c r="E32" s="4" t="s">
        <v>230</v>
      </c>
    </row>
    <row r="33" spans="1:5" x14ac:dyDescent="0.25">
      <c r="A33" t="s">
        <v>190</v>
      </c>
      <c r="B33" t="s">
        <v>193</v>
      </c>
      <c r="C33" s="4" t="s">
        <v>226</v>
      </c>
      <c r="D33" s="4" t="s">
        <v>190</v>
      </c>
      <c r="E33" s="4" t="s">
        <v>227</v>
      </c>
    </row>
    <row r="34" spans="1:5" x14ac:dyDescent="0.25">
      <c r="A34" t="s">
        <v>190</v>
      </c>
      <c r="B34" t="s">
        <v>193</v>
      </c>
      <c r="C34" s="4" t="s">
        <v>228</v>
      </c>
      <c r="D34" s="4" t="s">
        <v>191</v>
      </c>
      <c r="E34" s="4" t="s">
        <v>231</v>
      </c>
    </row>
    <row r="35" spans="1:5" s="26" customFormat="1" ht="18.75" x14ac:dyDescent="0.3">
      <c r="A35" s="5"/>
      <c r="B35" s="35"/>
      <c r="C35" s="5" t="s">
        <v>229</v>
      </c>
      <c r="D35" s="35"/>
      <c r="E35" s="35"/>
    </row>
    <row r="36" spans="1:5" x14ac:dyDescent="0.25">
      <c r="A36" t="s">
        <v>190</v>
      </c>
      <c r="B36" t="s">
        <v>188</v>
      </c>
      <c r="C36" s="4" t="s">
        <v>53</v>
      </c>
      <c r="D36" s="4" t="s">
        <v>191</v>
      </c>
      <c r="E36" s="4">
        <v>28</v>
      </c>
    </row>
    <row r="37" spans="1:5" x14ac:dyDescent="0.25">
      <c r="A37" t="s">
        <v>190</v>
      </c>
      <c r="B37" t="s">
        <v>188</v>
      </c>
      <c r="C37" s="4" t="s">
        <v>54</v>
      </c>
      <c r="D37" s="4" t="s">
        <v>191</v>
      </c>
      <c r="E37" s="4">
        <v>265</v>
      </c>
    </row>
    <row r="38" spans="1:5" x14ac:dyDescent="0.25">
      <c r="A38" t="s">
        <v>190</v>
      </c>
      <c r="B38" t="s">
        <v>188</v>
      </c>
      <c r="C38" s="4" t="s">
        <v>55</v>
      </c>
      <c r="D38" s="4" t="s">
        <v>191</v>
      </c>
      <c r="E38" s="4">
        <v>2.2999999999999998</v>
      </c>
    </row>
    <row r="39" spans="1:5" x14ac:dyDescent="0.25">
      <c r="A39" t="s">
        <v>190</v>
      </c>
      <c r="B39" t="s">
        <v>188</v>
      </c>
      <c r="C39" s="4" t="s">
        <v>56</v>
      </c>
      <c r="D39" s="4" t="s">
        <v>191</v>
      </c>
      <c r="E39" s="4">
        <v>0.21</v>
      </c>
    </row>
    <row r="40" spans="1:5" x14ac:dyDescent="0.25">
      <c r="A40" t="s">
        <v>190</v>
      </c>
      <c r="B40" t="s">
        <v>188</v>
      </c>
      <c r="C40" s="4" t="s">
        <v>57</v>
      </c>
      <c r="D40" s="4" t="s">
        <v>191</v>
      </c>
      <c r="E40" s="4">
        <v>0.45</v>
      </c>
    </row>
    <row r="41" spans="1:5" x14ac:dyDescent="0.25">
      <c r="A41" t="s">
        <v>190</v>
      </c>
      <c r="B41" t="s">
        <v>188</v>
      </c>
      <c r="C41" s="4" t="s">
        <v>62</v>
      </c>
      <c r="D41" s="4" t="s">
        <v>191</v>
      </c>
      <c r="E41" s="4">
        <v>0.24</v>
      </c>
    </row>
    <row r="42" spans="1:5" x14ac:dyDescent="0.25">
      <c r="A42" t="s">
        <v>190</v>
      </c>
      <c r="B42" t="s">
        <v>188</v>
      </c>
      <c r="C42" s="4" t="s">
        <v>68</v>
      </c>
      <c r="D42" s="4" t="s">
        <v>191</v>
      </c>
      <c r="E42" s="4">
        <v>0.47</v>
      </c>
    </row>
    <row r="43" spans="1:5" x14ac:dyDescent="0.25">
      <c r="A43" t="s">
        <v>190</v>
      </c>
      <c r="B43" t="s">
        <v>188</v>
      </c>
      <c r="C43" s="16" t="s">
        <v>76</v>
      </c>
      <c r="D43" s="4" t="s">
        <v>191</v>
      </c>
      <c r="E43" s="4">
        <v>0.01</v>
      </c>
    </row>
    <row r="44" spans="1:5" x14ac:dyDescent="0.25">
      <c r="A44" t="s">
        <v>190</v>
      </c>
      <c r="B44" t="s">
        <v>188</v>
      </c>
      <c r="C44" s="16" t="s">
        <v>80</v>
      </c>
      <c r="D44" s="4" t="s">
        <v>191</v>
      </c>
      <c r="E44" s="4">
        <v>0.01</v>
      </c>
    </row>
    <row r="45" spans="1:5" x14ac:dyDescent="0.25">
      <c r="A45" t="s">
        <v>190</v>
      </c>
      <c r="B45" t="s">
        <v>188</v>
      </c>
      <c r="C45" s="16" t="s">
        <v>81</v>
      </c>
      <c r="D45" s="4" t="s">
        <v>191</v>
      </c>
      <c r="E45" s="4">
        <v>7.4999999999999997E-3</v>
      </c>
    </row>
    <row r="46" spans="1:5" s="3" customFormat="1" ht="19.5" thickBot="1" x14ac:dyDescent="0.35">
      <c r="C46" s="5" t="s">
        <v>166</v>
      </c>
      <c r="D46" s="5"/>
    </row>
    <row r="47" spans="1:5" s="14" customFormat="1" ht="15" customHeight="1" x14ac:dyDescent="0.25">
      <c r="A47" s="14" t="s">
        <v>190</v>
      </c>
      <c r="B47" s="14" t="s">
        <v>188</v>
      </c>
      <c r="C47" s="12" t="s">
        <v>145</v>
      </c>
      <c r="D47" s="12" t="s">
        <v>190</v>
      </c>
      <c r="E47" s="12">
        <v>5</v>
      </c>
    </row>
    <row r="48" spans="1:5" x14ac:dyDescent="0.25">
      <c r="A48" t="s">
        <v>190</v>
      </c>
      <c r="B48" t="s">
        <v>188</v>
      </c>
      <c r="C48" s="4" t="s">
        <v>146</v>
      </c>
      <c r="D48" s="4" t="s">
        <v>190</v>
      </c>
      <c r="E48" s="4">
        <v>2018</v>
      </c>
    </row>
    <row r="49" spans="1:5" x14ac:dyDescent="0.25">
      <c r="A49" t="s">
        <v>190</v>
      </c>
      <c r="B49" t="s">
        <v>188</v>
      </c>
      <c r="C49" s="4" t="s">
        <v>156</v>
      </c>
      <c r="D49" s="4" t="s">
        <v>190</v>
      </c>
      <c r="E49" s="4">
        <v>2013</v>
      </c>
    </row>
    <row r="50" spans="1:5" x14ac:dyDescent="0.25">
      <c r="A50" t="s">
        <v>190</v>
      </c>
      <c r="B50" t="s">
        <v>188</v>
      </c>
      <c r="C50" s="4" t="s">
        <v>159</v>
      </c>
      <c r="D50" s="4" t="s">
        <v>190</v>
      </c>
      <c r="E50" s="4">
        <v>2</v>
      </c>
    </row>
    <row r="51" spans="1:5" x14ac:dyDescent="0.25">
      <c r="A51" t="s">
        <v>190</v>
      </c>
      <c r="B51" t="s">
        <v>188</v>
      </c>
      <c r="C51" s="4" t="s">
        <v>160</v>
      </c>
      <c r="D51" s="4" t="s">
        <v>190</v>
      </c>
      <c r="E51" s="4">
        <v>30</v>
      </c>
    </row>
    <row r="52" spans="1:5" x14ac:dyDescent="0.25">
      <c r="A52" t="s">
        <v>190</v>
      </c>
      <c r="B52" t="s">
        <v>188</v>
      </c>
      <c r="C52" s="4" t="s">
        <v>162</v>
      </c>
      <c r="D52" s="4" t="s">
        <v>190</v>
      </c>
      <c r="E52" s="4">
        <v>7</v>
      </c>
    </row>
    <row r="53" spans="1:5" x14ac:dyDescent="0.25">
      <c r="A53" t="s">
        <v>190</v>
      </c>
      <c r="B53" t="s">
        <v>188</v>
      </c>
      <c r="C53" s="4" t="s">
        <v>161</v>
      </c>
      <c r="D53" s="4" t="s">
        <v>190</v>
      </c>
      <c r="E53" s="4">
        <v>36</v>
      </c>
    </row>
    <row r="54" spans="1:5" x14ac:dyDescent="0.25">
      <c r="A54" t="s">
        <v>190</v>
      </c>
      <c r="B54" t="s">
        <v>188</v>
      </c>
      <c r="C54" s="4" t="s">
        <v>163</v>
      </c>
      <c r="D54" s="4" t="s">
        <v>190</v>
      </c>
      <c r="E54" s="4">
        <v>11</v>
      </c>
    </row>
    <row r="55" spans="1:5" x14ac:dyDescent="0.25">
      <c r="A55" t="s">
        <v>190</v>
      </c>
      <c r="B55" t="s">
        <v>188</v>
      </c>
      <c r="C55" s="4" t="s">
        <v>164</v>
      </c>
      <c r="D55" s="4" t="s">
        <v>190</v>
      </c>
      <c r="E55" s="4">
        <v>15</v>
      </c>
    </row>
    <row r="56" spans="1:5" x14ac:dyDescent="0.25">
      <c r="A56" t="s">
        <v>190</v>
      </c>
      <c r="B56" t="s">
        <v>188</v>
      </c>
      <c r="C56" s="4" t="s">
        <v>165</v>
      </c>
      <c r="D56" s="4" t="s">
        <v>190</v>
      </c>
      <c r="E56" s="4">
        <v>75</v>
      </c>
    </row>
    <row r="57" spans="1:5" s="1" customFormat="1" x14ac:dyDescent="0.25">
      <c r="A57" s="1" t="s">
        <v>190</v>
      </c>
      <c r="B57" s="1" t="s">
        <v>189</v>
      </c>
      <c r="C57" s="11" t="s">
        <v>157</v>
      </c>
      <c r="D57" s="11" t="s">
        <v>190</v>
      </c>
      <c r="E57" s="11">
        <f>MAX(E53-E51,0)</f>
        <v>6</v>
      </c>
    </row>
    <row r="58" spans="1:5" s="1" customFormat="1" x14ac:dyDescent="0.25">
      <c r="A58" s="1" t="s">
        <v>190</v>
      </c>
      <c r="B58" s="1" t="s">
        <v>189</v>
      </c>
      <c r="C58" s="11" t="s">
        <v>158</v>
      </c>
      <c r="D58" s="11" t="s">
        <v>190</v>
      </c>
      <c r="E58" s="11">
        <f>MAX(E54-E52,0)</f>
        <v>4</v>
      </c>
    </row>
    <row r="59" spans="1:5" s="1" customFormat="1" x14ac:dyDescent="0.25">
      <c r="A59" s="1" t="s">
        <v>190</v>
      </c>
      <c r="B59" s="1" t="s">
        <v>189</v>
      </c>
      <c r="C59" s="11" t="s">
        <v>147</v>
      </c>
      <c r="D59" s="11" t="s">
        <v>190</v>
      </c>
      <c r="E59" s="11">
        <f>MAX(E56-E55, 0)</f>
        <v>60</v>
      </c>
    </row>
    <row r="60" spans="1:5" s="32" customFormat="1" ht="15.75" thickBot="1" x14ac:dyDescent="0.3">
      <c r="A60" s="32" t="s">
        <v>190</v>
      </c>
      <c r="B60" s="32" t="s">
        <v>189</v>
      </c>
      <c r="C60" s="31" t="s">
        <v>144</v>
      </c>
      <c r="D60" s="37" t="s">
        <v>190</v>
      </c>
      <c r="E60" s="41">
        <f>E47*1/(E48-E49)*(1/E50)*SUM(E57:E58)*(1/E59)</f>
        <v>8.3333333333333329E-2</v>
      </c>
    </row>
    <row r="61" spans="1:5" s="3" customFormat="1" ht="18.75" x14ac:dyDescent="0.3">
      <c r="C61" s="5" t="s">
        <v>45</v>
      </c>
      <c r="D61" s="5"/>
    </row>
    <row r="62" spans="1:5" x14ac:dyDescent="0.25">
      <c r="A62" t="s">
        <v>190</v>
      </c>
      <c r="B62" t="s">
        <v>188</v>
      </c>
      <c r="C62" s="4" t="s">
        <v>63</v>
      </c>
      <c r="D62" s="4" t="s">
        <v>190</v>
      </c>
      <c r="E62" s="4">
        <v>250</v>
      </c>
    </row>
    <row r="63" spans="1:5" s="1" customFormat="1" x14ac:dyDescent="0.25">
      <c r="A63" s="1" t="s">
        <v>190</v>
      </c>
      <c r="B63" s="1" t="s">
        <v>189</v>
      </c>
      <c r="C63" s="11" t="s">
        <v>36</v>
      </c>
      <c r="D63" s="11" t="s">
        <v>190</v>
      </c>
      <c r="E63" s="11">
        <f>E62*(1+E41)</f>
        <v>310</v>
      </c>
    </row>
    <row r="64" spans="1:5" s="1" customFormat="1" x14ac:dyDescent="0.25">
      <c r="A64" s="1" t="s">
        <v>190</v>
      </c>
      <c r="B64" s="1" t="s">
        <v>189</v>
      </c>
      <c r="C64" s="11" t="s">
        <v>19</v>
      </c>
      <c r="D64" s="11" t="s">
        <v>190</v>
      </c>
      <c r="E64" s="11">
        <v>0</v>
      </c>
    </row>
    <row r="65" spans="1:5" x14ac:dyDescent="0.25">
      <c r="A65" t="s">
        <v>190</v>
      </c>
      <c r="B65" t="s">
        <v>188</v>
      </c>
      <c r="C65" t="s">
        <v>177</v>
      </c>
      <c r="D65" s="4" t="s">
        <v>190</v>
      </c>
      <c r="E65" s="4">
        <v>200</v>
      </c>
    </row>
    <row r="66" spans="1:5" s="1" customFormat="1" x14ac:dyDescent="0.25">
      <c r="A66" s="1" t="s">
        <v>190</v>
      </c>
      <c r="B66" s="1" t="s">
        <v>189</v>
      </c>
      <c r="C66" s="11" t="s">
        <v>41</v>
      </c>
      <c r="D66" s="11" t="s">
        <v>190</v>
      </c>
      <c r="E66" s="11">
        <f>E65*E42</f>
        <v>94</v>
      </c>
    </row>
    <row r="67" spans="1:5" s="1" customFormat="1" x14ac:dyDescent="0.25">
      <c r="A67" s="1" t="s">
        <v>190</v>
      </c>
      <c r="B67" s="1" t="s">
        <v>189</v>
      </c>
      <c r="C67" s="11" t="s">
        <v>20</v>
      </c>
      <c r="D67" s="11" t="s">
        <v>190</v>
      </c>
      <c r="E67" s="11">
        <f>0</f>
        <v>0</v>
      </c>
    </row>
    <row r="68" spans="1:5" s="2" customFormat="1" ht="15.75" thickBot="1" x14ac:dyDescent="0.3">
      <c r="A68" s="1" t="s">
        <v>190</v>
      </c>
      <c r="B68" s="2" t="s">
        <v>189</v>
      </c>
      <c r="C68" s="6" t="s">
        <v>8</v>
      </c>
      <c r="D68" s="38" t="s">
        <v>190</v>
      </c>
      <c r="E68" s="7">
        <f>SUM(E64,E67)</f>
        <v>0</v>
      </c>
    </row>
    <row r="69" spans="1:5" s="14" customFormat="1" x14ac:dyDescent="0.25">
      <c r="A69" s="14" t="s">
        <v>190</v>
      </c>
      <c r="B69" s="14" t="s">
        <v>188</v>
      </c>
      <c r="C69" s="12" t="s">
        <v>64</v>
      </c>
      <c r="D69" s="12" t="s">
        <v>190</v>
      </c>
      <c r="E69" s="12">
        <v>800</v>
      </c>
    </row>
    <row r="70" spans="1:5" s="1" customFormat="1" x14ac:dyDescent="0.25">
      <c r="A70" s="1" t="s">
        <v>190</v>
      </c>
      <c r="B70" s="1" t="s">
        <v>189</v>
      </c>
      <c r="C70" s="11" t="s">
        <v>37</v>
      </c>
      <c r="D70" s="11" t="s">
        <v>190</v>
      </c>
      <c r="E70" s="11">
        <f>E69*(1+E41)</f>
        <v>992</v>
      </c>
    </row>
    <row r="71" spans="1:5" s="1" customFormat="1" x14ac:dyDescent="0.25">
      <c r="A71" s="1" t="s">
        <v>190</v>
      </c>
      <c r="B71" s="1" t="s">
        <v>189</v>
      </c>
      <c r="C71" s="11" t="s">
        <v>21</v>
      </c>
      <c r="D71" s="11" t="s">
        <v>190</v>
      </c>
      <c r="E71" s="11">
        <f>E24*(E70-E63)/E27</f>
        <v>682000</v>
      </c>
    </row>
    <row r="72" spans="1:5" x14ac:dyDescent="0.25">
      <c r="A72" t="s">
        <v>190</v>
      </c>
      <c r="B72" t="s">
        <v>188</v>
      </c>
      <c r="C72" t="s">
        <v>178</v>
      </c>
      <c r="D72" s="4" t="s">
        <v>190</v>
      </c>
      <c r="E72" s="4">
        <v>400</v>
      </c>
    </row>
    <row r="73" spans="1:5" s="1" customFormat="1" x14ac:dyDescent="0.25">
      <c r="A73" s="1" t="s">
        <v>190</v>
      </c>
      <c r="B73" s="1" t="s">
        <v>189</v>
      </c>
      <c r="C73" s="11" t="s">
        <v>42</v>
      </c>
      <c r="D73" s="11" t="s">
        <v>190</v>
      </c>
      <c r="E73" s="11">
        <f>E72*E42</f>
        <v>188</v>
      </c>
    </row>
    <row r="74" spans="1:5" s="1" customFormat="1" x14ac:dyDescent="0.25">
      <c r="A74" s="1" t="s">
        <v>190</v>
      </c>
      <c r="B74" s="1" t="s">
        <v>189</v>
      </c>
      <c r="C74" s="11" t="s">
        <v>22</v>
      </c>
      <c r="D74" s="11" t="s">
        <v>190</v>
      </c>
      <c r="E74" s="11">
        <f>E24*(E73-E66)/E27</f>
        <v>94000</v>
      </c>
    </row>
    <row r="75" spans="1:5" s="2" customFormat="1" ht="15.75" thickBot="1" x14ac:dyDescent="0.3">
      <c r="A75" s="1" t="s">
        <v>190</v>
      </c>
      <c r="B75" s="1" t="s">
        <v>189</v>
      </c>
      <c r="C75" s="6" t="s">
        <v>9</v>
      </c>
      <c r="D75" s="38" t="s">
        <v>190</v>
      </c>
      <c r="E75" s="7">
        <f>SUM(E71,E74)</f>
        <v>776000</v>
      </c>
    </row>
    <row r="76" spans="1:5" s="14" customFormat="1" x14ac:dyDescent="0.25">
      <c r="A76" s="14" t="s">
        <v>190</v>
      </c>
      <c r="B76" s="14" t="s">
        <v>188</v>
      </c>
      <c r="C76" s="15" t="s">
        <v>65</v>
      </c>
      <c r="D76" s="15" t="s">
        <v>190</v>
      </c>
      <c r="E76" s="12">
        <v>1200</v>
      </c>
    </row>
    <row r="77" spans="1:5" s="1" customFormat="1" x14ac:dyDescent="0.25">
      <c r="A77" s="1" t="s">
        <v>190</v>
      </c>
      <c r="B77" s="1" t="s">
        <v>189</v>
      </c>
      <c r="C77" s="11" t="s">
        <v>38</v>
      </c>
      <c r="D77" s="11" t="s">
        <v>190</v>
      </c>
      <c r="E77" s="11">
        <f>E76*(1+E41)</f>
        <v>1488</v>
      </c>
    </row>
    <row r="78" spans="1:5" s="1" customFormat="1" x14ac:dyDescent="0.25">
      <c r="A78" s="1" t="s">
        <v>190</v>
      </c>
      <c r="B78" s="1" t="s">
        <v>189</v>
      </c>
      <c r="C78" s="11" t="s">
        <v>23</v>
      </c>
      <c r="D78" s="11" t="s">
        <v>190</v>
      </c>
      <c r="E78" s="11">
        <f>E24*(E77-E63)/E28</f>
        <v>589000</v>
      </c>
    </row>
    <row r="79" spans="1:5" x14ac:dyDescent="0.25">
      <c r="A79" t="s">
        <v>190</v>
      </c>
      <c r="B79" t="s">
        <v>188</v>
      </c>
      <c r="C79" t="s">
        <v>179</v>
      </c>
      <c r="D79" s="4" t="s">
        <v>190</v>
      </c>
      <c r="E79" s="4">
        <v>600</v>
      </c>
    </row>
    <row r="80" spans="1:5" s="1" customFormat="1" x14ac:dyDescent="0.25">
      <c r="A80" s="1" t="s">
        <v>190</v>
      </c>
      <c r="B80" s="1" t="s">
        <v>189</v>
      </c>
      <c r="C80" s="11" t="s">
        <v>43</v>
      </c>
      <c r="D80" s="11" t="s">
        <v>190</v>
      </c>
      <c r="E80" s="11">
        <f>E79*E42</f>
        <v>282</v>
      </c>
    </row>
    <row r="81" spans="1:5" s="1" customFormat="1" x14ac:dyDescent="0.25">
      <c r="A81" s="1" t="s">
        <v>190</v>
      </c>
      <c r="B81" s="1" t="s">
        <v>189</v>
      </c>
      <c r="C81" s="11" t="s">
        <v>24</v>
      </c>
      <c r="D81" s="11" t="s">
        <v>190</v>
      </c>
      <c r="E81" s="11">
        <f>E24*(E80-E66)/E28</f>
        <v>94000</v>
      </c>
    </row>
    <row r="82" spans="1:5" s="2" customFormat="1" ht="15.75" thickBot="1" x14ac:dyDescent="0.3">
      <c r="A82" s="1" t="s">
        <v>190</v>
      </c>
      <c r="B82" s="1" t="s">
        <v>189</v>
      </c>
      <c r="C82" s="6" t="s">
        <v>10</v>
      </c>
      <c r="D82" s="38" t="s">
        <v>190</v>
      </c>
      <c r="E82" s="7">
        <f>SUM(E78,E81)</f>
        <v>683000</v>
      </c>
    </row>
    <row r="83" spans="1:5" s="14" customFormat="1" x14ac:dyDescent="0.25">
      <c r="A83" s="14" t="s">
        <v>190</v>
      </c>
      <c r="B83" s="14" t="s">
        <v>188</v>
      </c>
      <c r="C83" s="15" t="s">
        <v>66</v>
      </c>
      <c r="D83" s="15" t="s">
        <v>190</v>
      </c>
      <c r="E83" s="12">
        <v>1600</v>
      </c>
    </row>
    <row r="84" spans="1:5" s="1" customFormat="1" x14ac:dyDescent="0.25">
      <c r="A84" s="1" t="s">
        <v>190</v>
      </c>
      <c r="B84" s="1" t="s">
        <v>189</v>
      </c>
      <c r="C84" s="11" t="s">
        <v>39</v>
      </c>
      <c r="D84" s="11" t="s">
        <v>190</v>
      </c>
      <c r="E84" s="11">
        <f>E83*(1+E41)</f>
        <v>1984</v>
      </c>
    </row>
    <row r="85" spans="1:5" s="1" customFormat="1" x14ac:dyDescent="0.25">
      <c r="A85" s="1" t="s">
        <v>190</v>
      </c>
      <c r="B85" s="1" t="s">
        <v>189</v>
      </c>
      <c r="C85" s="11" t="s">
        <v>25</v>
      </c>
      <c r="D85" s="11" t="s">
        <v>190</v>
      </c>
      <c r="E85" s="11">
        <f>E24*(E84-E63)/E29</f>
        <v>558000</v>
      </c>
    </row>
    <row r="86" spans="1:5" x14ac:dyDescent="0.25">
      <c r="A86" t="s">
        <v>190</v>
      </c>
      <c r="B86" t="s">
        <v>188</v>
      </c>
      <c r="C86" t="s">
        <v>180</v>
      </c>
      <c r="D86" s="4" t="s">
        <v>190</v>
      </c>
      <c r="E86" s="4">
        <v>800</v>
      </c>
    </row>
    <row r="87" spans="1:5" s="1" customFormat="1" x14ac:dyDescent="0.25">
      <c r="A87" s="1" t="s">
        <v>190</v>
      </c>
      <c r="B87" s="1" t="s">
        <v>189</v>
      </c>
      <c r="C87" s="11" t="s">
        <v>44</v>
      </c>
      <c r="D87" s="11" t="s">
        <v>190</v>
      </c>
      <c r="E87" s="11">
        <f>E86*E42</f>
        <v>376</v>
      </c>
    </row>
    <row r="88" spans="1:5" s="1" customFormat="1" x14ac:dyDescent="0.25">
      <c r="A88" s="1" t="s">
        <v>190</v>
      </c>
      <c r="B88" s="1" t="s">
        <v>189</v>
      </c>
      <c r="C88" s="11" t="s">
        <v>26</v>
      </c>
      <c r="D88" s="11" t="s">
        <v>190</v>
      </c>
      <c r="E88" s="11">
        <f>E24*(E87-E66)/E29</f>
        <v>94000</v>
      </c>
    </row>
    <row r="89" spans="1:5" s="2" customFormat="1" ht="15.75" thickBot="1" x14ac:dyDescent="0.3">
      <c r="A89" s="1" t="s">
        <v>190</v>
      </c>
      <c r="B89" s="1" t="s">
        <v>189</v>
      </c>
      <c r="C89" s="6" t="s">
        <v>11</v>
      </c>
      <c r="D89" s="38" t="s">
        <v>190</v>
      </c>
      <c r="E89" s="7">
        <f>SUM(E85,E88)</f>
        <v>652000</v>
      </c>
    </row>
    <row r="90" spans="1:5" s="14" customFormat="1" x14ac:dyDescent="0.25">
      <c r="A90" s="14" t="s">
        <v>190</v>
      </c>
      <c r="B90" s="14" t="s">
        <v>188</v>
      </c>
      <c r="C90" s="15" t="s">
        <v>67</v>
      </c>
      <c r="D90" s="15" t="s">
        <v>190</v>
      </c>
      <c r="E90" s="12">
        <v>2000</v>
      </c>
    </row>
    <row r="91" spans="1:5" s="1" customFormat="1" x14ac:dyDescent="0.25">
      <c r="A91" s="1" t="s">
        <v>190</v>
      </c>
      <c r="B91" s="1" t="s">
        <v>189</v>
      </c>
      <c r="C91" s="11" t="s">
        <v>40</v>
      </c>
      <c r="D91" s="11" t="s">
        <v>190</v>
      </c>
      <c r="E91" s="11">
        <f>E90*(1+E41)</f>
        <v>2480</v>
      </c>
    </row>
    <row r="92" spans="1:5" s="1" customFormat="1" x14ac:dyDescent="0.25">
      <c r="A92" s="1" t="s">
        <v>190</v>
      </c>
      <c r="B92" s="1" t="s">
        <v>189</v>
      </c>
      <c r="C92" s="11" t="s">
        <v>27</v>
      </c>
      <c r="D92" s="11" t="s">
        <v>190</v>
      </c>
      <c r="E92" s="11">
        <f>E24*(E91-E63)/E30</f>
        <v>542500</v>
      </c>
    </row>
    <row r="93" spans="1:5" x14ac:dyDescent="0.25">
      <c r="A93" t="s">
        <v>190</v>
      </c>
      <c r="B93" t="s">
        <v>188</v>
      </c>
      <c r="C93" t="s">
        <v>181</v>
      </c>
      <c r="D93" s="4" t="s">
        <v>190</v>
      </c>
      <c r="E93" s="4">
        <v>1000</v>
      </c>
    </row>
    <row r="94" spans="1:5" s="1" customFormat="1" x14ac:dyDescent="0.25">
      <c r="A94" s="1" t="s">
        <v>190</v>
      </c>
      <c r="B94" s="1" t="s">
        <v>189</v>
      </c>
      <c r="C94" s="11" t="s">
        <v>182</v>
      </c>
      <c r="D94" s="11" t="s">
        <v>190</v>
      </c>
      <c r="E94" s="11">
        <f>E93*E42</f>
        <v>470</v>
      </c>
    </row>
    <row r="95" spans="1:5" s="1" customFormat="1" x14ac:dyDescent="0.25">
      <c r="A95" s="1" t="s">
        <v>190</v>
      </c>
      <c r="B95" s="1" t="s">
        <v>189</v>
      </c>
      <c r="C95" s="11" t="s">
        <v>28</v>
      </c>
      <c r="D95" s="11" t="s">
        <v>190</v>
      </c>
      <c r="E95" s="11">
        <f>E24*(E94-E66)/E30</f>
        <v>94000</v>
      </c>
    </row>
    <row r="96" spans="1:5" s="2" customFormat="1" x14ac:dyDescent="0.25">
      <c r="A96" s="1" t="s">
        <v>190</v>
      </c>
      <c r="B96" s="1" t="s">
        <v>189</v>
      </c>
      <c r="C96" s="6" t="s">
        <v>12</v>
      </c>
      <c r="D96" s="38" t="s">
        <v>190</v>
      </c>
      <c r="E96" s="7">
        <f>SUM(E92,E95)</f>
        <v>636500</v>
      </c>
    </row>
    <row r="97" spans="1:5" s="2" customFormat="1" x14ac:dyDescent="0.25">
      <c r="A97" s="1" t="s">
        <v>190</v>
      </c>
      <c r="B97" s="1" t="s">
        <v>189</v>
      </c>
      <c r="C97" s="7" t="s">
        <v>5</v>
      </c>
      <c r="D97" s="11" t="s">
        <v>190</v>
      </c>
      <c r="E97" s="7">
        <f>(44/12)*SUM(E96,E89,E82,E75,E68)</f>
        <v>10074166.666666666</v>
      </c>
    </row>
    <row r="98" spans="1:5" s="3" customFormat="1" ht="18.75" x14ac:dyDescent="0.3">
      <c r="C98" s="5" t="s">
        <v>46</v>
      </c>
      <c r="D98" s="5"/>
      <c r="E98" s="5"/>
    </row>
    <row r="99" spans="1:5" x14ac:dyDescent="0.25">
      <c r="A99" t="s">
        <v>190</v>
      </c>
      <c r="B99" t="s">
        <v>188</v>
      </c>
      <c r="C99" s="4" t="s">
        <v>48</v>
      </c>
      <c r="D99" s="4" t="s">
        <v>190</v>
      </c>
      <c r="E99" s="4">
        <v>800</v>
      </c>
    </row>
    <row r="100" spans="1:5" s="1" customFormat="1" x14ac:dyDescent="0.25">
      <c r="A100" s="1" t="s">
        <v>190</v>
      </c>
      <c r="B100" s="1" t="s">
        <v>189</v>
      </c>
      <c r="C100" s="11" t="s">
        <v>58</v>
      </c>
      <c r="D100" s="11" t="s">
        <v>190</v>
      </c>
      <c r="E100" s="11">
        <f>(E62+E66)*(1/E42)</f>
        <v>731.91489361702122</v>
      </c>
    </row>
    <row r="101" spans="1:5" s="2" customFormat="1" ht="15.75" thickBot="1" x14ac:dyDescent="0.3">
      <c r="A101" s="1" t="s">
        <v>190</v>
      </c>
      <c r="B101" s="1" t="s">
        <v>189</v>
      </c>
      <c r="C101" s="11" t="s">
        <v>13</v>
      </c>
      <c r="D101" s="11" t="s">
        <v>190</v>
      </c>
      <c r="E101" s="7">
        <f>E99*(E36*E38*E100*E40*0.001)*(12/44)+E99*(E37*E255*E100*E40*0.001)*(12/44)</f>
        <v>4627.8313346228233</v>
      </c>
    </row>
    <row r="102" spans="1:5" s="13" customFormat="1" x14ac:dyDescent="0.25">
      <c r="A102" s="14" t="s">
        <v>190</v>
      </c>
      <c r="B102" s="14" t="s">
        <v>188</v>
      </c>
      <c r="C102" s="12" t="s">
        <v>49</v>
      </c>
      <c r="D102" s="12" t="s">
        <v>190</v>
      </c>
      <c r="E102" s="12">
        <v>750</v>
      </c>
    </row>
    <row r="103" spans="1:5" s="1" customFormat="1" x14ac:dyDescent="0.25">
      <c r="A103" s="1" t="s">
        <v>190</v>
      </c>
      <c r="B103" s="1" t="s">
        <v>189</v>
      </c>
      <c r="C103" s="11" t="s">
        <v>59</v>
      </c>
      <c r="D103" s="11" t="s">
        <v>190</v>
      </c>
      <c r="E103" s="11">
        <f>(E69+E73)*(1/E42)</f>
        <v>2102.127659574468</v>
      </c>
    </row>
    <row r="104" spans="1:5" s="2" customFormat="1" ht="15.75" thickBot="1" x14ac:dyDescent="0.3">
      <c r="A104" s="1" t="s">
        <v>190</v>
      </c>
      <c r="B104" s="1" t="s">
        <v>189</v>
      </c>
      <c r="C104" s="11" t="s">
        <v>14</v>
      </c>
      <c r="D104" s="11" t="s">
        <v>190</v>
      </c>
      <c r="E104" s="7">
        <f>E102*(E36*E38*E103*E40*0.001)*(12/44)+E102*(E37*E255*E103*E40*0.001)*(12/44)</f>
        <v>12460.839458413924</v>
      </c>
    </row>
    <row r="105" spans="1:5" s="13" customFormat="1" x14ac:dyDescent="0.25">
      <c r="A105" s="14" t="s">
        <v>190</v>
      </c>
      <c r="B105" s="14" t="s">
        <v>188</v>
      </c>
      <c r="C105" s="12" t="s">
        <v>50</v>
      </c>
      <c r="D105" s="12" t="s">
        <v>190</v>
      </c>
      <c r="E105" s="12">
        <v>700</v>
      </c>
    </row>
    <row r="106" spans="1:5" s="1" customFormat="1" x14ac:dyDescent="0.25">
      <c r="A106" s="1" t="s">
        <v>190</v>
      </c>
      <c r="B106" s="1" t="s">
        <v>189</v>
      </c>
      <c r="C106" s="11" t="s">
        <v>60</v>
      </c>
      <c r="D106" s="11" t="s">
        <v>190</v>
      </c>
      <c r="E106" s="11">
        <f>(E76+E80)*(1/E42)</f>
        <v>3153.1914893617022</v>
      </c>
    </row>
    <row r="107" spans="1:5" s="2" customFormat="1" ht="15.75" thickBot="1" x14ac:dyDescent="0.3">
      <c r="A107" s="1" t="s">
        <v>190</v>
      </c>
      <c r="B107" s="1" t="s">
        <v>189</v>
      </c>
      <c r="C107" s="11" t="s">
        <v>15</v>
      </c>
      <c r="D107" s="11" t="s">
        <v>190</v>
      </c>
      <c r="E107" s="7">
        <f>E105*(E36*E38*E106*E40*0.001)*(12/44)+E105*(E37*E255*E106*E40*0.001)*(12/44)</f>
        <v>17445.175241779492</v>
      </c>
    </row>
    <row r="108" spans="1:5" s="13" customFormat="1" x14ac:dyDescent="0.25">
      <c r="A108" s="14" t="s">
        <v>190</v>
      </c>
      <c r="B108" s="14" t="s">
        <v>188</v>
      </c>
      <c r="C108" s="12" t="s">
        <v>51</v>
      </c>
      <c r="D108" s="12" t="s">
        <v>190</v>
      </c>
      <c r="E108" s="12">
        <v>650</v>
      </c>
    </row>
    <row r="109" spans="1:5" s="1" customFormat="1" x14ac:dyDescent="0.25">
      <c r="A109" s="1" t="s">
        <v>190</v>
      </c>
      <c r="B109" s="1" t="s">
        <v>189</v>
      </c>
      <c r="C109" s="11" t="s">
        <v>61</v>
      </c>
      <c r="D109" s="11" t="s">
        <v>190</v>
      </c>
      <c r="E109" s="11">
        <f>(E83+E87)*(1/E42)</f>
        <v>4204.255319148936</v>
      </c>
    </row>
    <row r="110" spans="1:5" s="2" customFormat="1" ht="15.75" thickBot="1" x14ac:dyDescent="0.3">
      <c r="A110" s="1" t="s">
        <v>190</v>
      </c>
      <c r="B110" s="1" t="s">
        <v>189</v>
      </c>
      <c r="C110" s="11" t="s">
        <v>16</v>
      </c>
      <c r="D110" s="11" t="s">
        <v>190</v>
      </c>
      <c r="E110" s="7">
        <f>E108*(E36*E38*E109*E40*0.001)*(12/44)+E108*(E37*E255*E109*E40*0.001)*(12/44)</f>
        <v>21598.788394584135</v>
      </c>
    </row>
    <row r="111" spans="1:5" s="13" customFormat="1" x14ac:dyDescent="0.25">
      <c r="A111" s="14" t="s">
        <v>190</v>
      </c>
      <c r="B111" s="14" t="s">
        <v>188</v>
      </c>
      <c r="C111" s="12" t="s">
        <v>52</v>
      </c>
      <c r="D111" s="12" t="s">
        <v>190</v>
      </c>
      <c r="E111" s="12">
        <v>600</v>
      </c>
    </row>
    <row r="112" spans="1:5" s="2" customFormat="1" x14ac:dyDescent="0.25">
      <c r="A112" s="1" t="s">
        <v>190</v>
      </c>
      <c r="B112" s="1" t="s">
        <v>189</v>
      </c>
      <c r="C112" s="11" t="s">
        <v>69</v>
      </c>
      <c r="D112" s="11" t="s">
        <v>190</v>
      </c>
      <c r="E112" s="7">
        <f>(E90+E94)*(1/E42)</f>
        <v>5255.3191489361698</v>
      </c>
    </row>
    <row r="113" spans="1:5" s="2" customFormat="1" x14ac:dyDescent="0.25">
      <c r="A113" s="1" t="s">
        <v>190</v>
      </c>
      <c r="B113" s="1" t="s">
        <v>189</v>
      </c>
      <c r="C113" s="11" t="s">
        <v>17</v>
      </c>
      <c r="D113" s="11" t="s">
        <v>190</v>
      </c>
      <c r="E113" s="7">
        <f>E111*(E36*E38*E112*E40*0.001)*(12/44)+E111*(E37*E255*E112*E40*0.001)*(12/44)</f>
        <v>24921.678916827848</v>
      </c>
    </row>
    <row r="114" spans="1:5" s="2" customFormat="1" x14ac:dyDescent="0.25">
      <c r="A114" s="1" t="s">
        <v>190</v>
      </c>
      <c r="B114" s="1" t="s">
        <v>189</v>
      </c>
      <c r="C114" s="8" t="s">
        <v>6</v>
      </c>
      <c r="D114" s="19" t="s">
        <v>190</v>
      </c>
      <c r="E114" s="7">
        <f>SUM(E113,E110,E107,E104,E101)</f>
        <v>81054.313346228228</v>
      </c>
    </row>
    <row r="115" spans="1:5" s="3" customFormat="1" ht="18.75" x14ac:dyDescent="0.3">
      <c r="C115" s="5" t="s">
        <v>47</v>
      </c>
      <c r="D115" s="5"/>
    </row>
    <row r="116" spans="1:5" x14ac:dyDescent="0.25">
      <c r="A116" t="s">
        <v>190</v>
      </c>
      <c r="B116" t="s">
        <v>188</v>
      </c>
      <c r="C116" s="16" t="s">
        <v>70</v>
      </c>
      <c r="D116" s="16" t="s">
        <v>190</v>
      </c>
      <c r="E116" s="4">
        <v>400</v>
      </c>
    </row>
    <row r="117" spans="1:5" x14ac:dyDescent="0.25">
      <c r="A117" t="s">
        <v>190</v>
      </c>
      <c r="B117" t="s">
        <v>188</v>
      </c>
      <c r="C117" s="16" t="s">
        <v>82</v>
      </c>
      <c r="D117" s="16" t="s">
        <v>190</v>
      </c>
      <c r="E117" s="4">
        <v>0</v>
      </c>
    </row>
    <row r="118" spans="1:5" x14ac:dyDescent="0.25">
      <c r="A118" t="s">
        <v>190</v>
      </c>
      <c r="B118" t="s">
        <v>188</v>
      </c>
      <c r="C118" s="16" t="s">
        <v>83</v>
      </c>
      <c r="D118" s="16" t="s">
        <v>190</v>
      </c>
      <c r="E118" s="4">
        <v>0</v>
      </c>
    </row>
    <row r="119" spans="1:5" x14ac:dyDescent="0.25">
      <c r="A119" t="s">
        <v>190</v>
      </c>
      <c r="B119" t="s">
        <v>188</v>
      </c>
      <c r="C119" s="16" t="s">
        <v>84</v>
      </c>
      <c r="D119" s="16" t="s">
        <v>190</v>
      </c>
      <c r="E119" s="4">
        <v>200</v>
      </c>
    </row>
    <row r="120" spans="1:5" x14ac:dyDescent="0.25">
      <c r="A120" t="s">
        <v>190</v>
      </c>
      <c r="B120" t="s">
        <v>188</v>
      </c>
      <c r="C120" s="16" t="s">
        <v>85</v>
      </c>
      <c r="D120" s="16" t="s">
        <v>190</v>
      </c>
      <c r="E120" s="4">
        <v>10</v>
      </c>
    </row>
    <row r="121" spans="1:5" s="1" customFormat="1" x14ac:dyDescent="0.25">
      <c r="A121" s="1" t="s">
        <v>190</v>
      </c>
      <c r="B121" s="1" t="s">
        <v>189</v>
      </c>
      <c r="C121" s="18" t="s">
        <v>86</v>
      </c>
      <c r="D121" s="18" t="s">
        <v>190</v>
      </c>
      <c r="E121" s="11">
        <f>E117*E118</f>
        <v>0</v>
      </c>
    </row>
    <row r="122" spans="1:5" s="1" customFormat="1" x14ac:dyDescent="0.25">
      <c r="A122" s="1" t="s">
        <v>190</v>
      </c>
      <c r="B122" s="1" t="s">
        <v>189</v>
      </c>
      <c r="C122" s="18" t="s">
        <v>87</v>
      </c>
      <c r="D122" s="18" t="s">
        <v>190</v>
      </c>
      <c r="E122" s="11">
        <f>E119*E120</f>
        <v>2000</v>
      </c>
    </row>
    <row r="123" spans="1:5" s="2" customFormat="1" x14ac:dyDescent="0.25">
      <c r="A123" s="1" t="s">
        <v>190</v>
      </c>
      <c r="B123" s="1" t="s">
        <v>189</v>
      </c>
      <c r="C123" s="8" t="s">
        <v>75</v>
      </c>
      <c r="D123" s="19" t="s">
        <v>190</v>
      </c>
      <c r="E123" s="7">
        <f>(E121+E122)*E43*(44/28)*E37</f>
        <v>8328.5714285714275</v>
      </c>
    </row>
    <row r="124" spans="1:5" x14ac:dyDescent="0.25">
      <c r="A124" t="s">
        <v>190</v>
      </c>
      <c r="B124" t="s">
        <v>188</v>
      </c>
      <c r="C124" s="16" t="s">
        <v>88</v>
      </c>
      <c r="D124" s="16" t="s">
        <v>190</v>
      </c>
      <c r="E124" s="4">
        <v>0</v>
      </c>
    </row>
    <row r="125" spans="1:5" x14ac:dyDescent="0.25">
      <c r="A125" t="s">
        <v>190</v>
      </c>
      <c r="B125" t="s">
        <v>188</v>
      </c>
      <c r="C125" s="16" t="s">
        <v>89</v>
      </c>
      <c r="D125" s="16" t="s">
        <v>190</v>
      </c>
      <c r="E125" s="4">
        <v>20</v>
      </c>
    </row>
    <row r="126" spans="1:5" x14ac:dyDescent="0.25">
      <c r="A126" t="s">
        <v>190</v>
      </c>
      <c r="B126" t="s">
        <v>188</v>
      </c>
      <c r="C126" s="16" t="s">
        <v>77</v>
      </c>
      <c r="D126" s="16" t="s">
        <v>190</v>
      </c>
      <c r="E126" s="4">
        <v>0.11</v>
      </c>
    </row>
    <row r="127" spans="1:5" x14ac:dyDescent="0.25">
      <c r="A127" t="s">
        <v>190</v>
      </c>
      <c r="B127" t="s">
        <v>188</v>
      </c>
      <c r="C127" s="16" t="s">
        <v>78</v>
      </c>
      <c r="D127" s="16" t="s">
        <v>190</v>
      </c>
      <c r="E127" s="4">
        <v>0.21</v>
      </c>
    </row>
    <row r="128" spans="1:5" x14ac:dyDescent="0.25">
      <c r="A128" t="s">
        <v>190</v>
      </c>
      <c r="B128" t="s">
        <v>188</v>
      </c>
      <c r="C128" s="16" t="s">
        <v>79</v>
      </c>
      <c r="D128" s="16" t="s">
        <v>190</v>
      </c>
      <c r="E128" s="4">
        <v>0.24</v>
      </c>
    </row>
    <row r="129" spans="1:5" s="1" customFormat="1" x14ac:dyDescent="0.25">
      <c r="A129" s="1" t="s">
        <v>190</v>
      </c>
      <c r="B129" s="1" t="s">
        <v>189</v>
      </c>
      <c r="C129" s="18" t="s">
        <v>90</v>
      </c>
      <c r="D129" s="18" t="s">
        <v>190</v>
      </c>
      <c r="E129" s="11">
        <f>((E124*E126)+(E125*E127))*E44*(44/28)*E39</f>
        <v>1.3860000000000001E-2</v>
      </c>
    </row>
    <row r="130" spans="1:5" s="1" customFormat="1" x14ac:dyDescent="0.25">
      <c r="A130" s="1" t="s">
        <v>190</v>
      </c>
      <c r="B130" s="1" t="s">
        <v>189</v>
      </c>
      <c r="C130" s="18" t="s">
        <v>102</v>
      </c>
      <c r="D130" s="18" t="s">
        <v>190</v>
      </c>
      <c r="E130" s="11">
        <f>(E124+E125)*E128*E45*(44/28)*E39</f>
        <v>1.1879999999999998E-2</v>
      </c>
    </row>
    <row r="131" spans="1:5" s="1" customFormat="1" x14ac:dyDescent="0.25">
      <c r="A131" s="1" t="s">
        <v>190</v>
      </c>
      <c r="B131" s="1" t="s">
        <v>189</v>
      </c>
      <c r="C131" s="18" t="s">
        <v>91</v>
      </c>
      <c r="D131" s="18" t="s">
        <v>190</v>
      </c>
      <c r="E131" s="11">
        <f>E129+E130</f>
        <v>2.5739999999999999E-2</v>
      </c>
    </row>
    <row r="132" spans="1:5" s="2" customFormat="1" ht="15.75" thickBot="1" x14ac:dyDescent="0.3">
      <c r="A132" s="1" t="s">
        <v>190</v>
      </c>
      <c r="B132" s="1" t="s">
        <v>189</v>
      </c>
      <c r="C132" s="19" t="s">
        <v>18</v>
      </c>
      <c r="D132" s="19" t="s">
        <v>190</v>
      </c>
      <c r="E132" s="7">
        <f>E116*(E123+E131)</f>
        <v>3331438.8674285705</v>
      </c>
    </row>
    <row r="133" spans="1:5" s="14" customFormat="1" x14ac:dyDescent="0.25">
      <c r="A133" s="14" t="s">
        <v>190</v>
      </c>
      <c r="B133" s="14" t="s">
        <v>188</v>
      </c>
      <c r="C133" s="17" t="s">
        <v>71</v>
      </c>
      <c r="D133" s="17" t="s">
        <v>190</v>
      </c>
      <c r="E133" s="12">
        <v>350</v>
      </c>
    </row>
    <row r="134" spans="1:5" x14ac:dyDescent="0.25">
      <c r="A134" t="s">
        <v>190</v>
      </c>
      <c r="B134" t="s">
        <v>188</v>
      </c>
      <c r="C134" s="16" t="s">
        <v>92</v>
      </c>
      <c r="D134" s="16" t="s">
        <v>190</v>
      </c>
      <c r="E134" s="4">
        <v>0</v>
      </c>
    </row>
    <row r="135" spans="1:5" x14ac:dyDescent="0.25">
      <c r="A135" t="s">
        <v>190</v>
      </c>
      <c r="B135" t="s">
        <v>188</v>
      </c>
      <c r="C135" s="16" t="s">
        <v>93</v>
      </c>
      <c r="D135" s="16" t="s">
        <v>190</v>
      </c>
      <c r="E135" s="4">
        <v>0</v>
      </c>
    </row>
    <row r="136" spans="1:5" x14ac:dyDescent="0.25">
      <c r="A136" t="s">
        <v>190</v>
      </c>
      <c r="B136" t="s">
        <v>188</v>
      </c>
      <c r="C136" s="16" t="s">
        <v>94</v>
      </c>
      <c r="D136" s="16" t="s">
        <v>190</v>
      </c>
      <c r="E136" s="4">
        <v>175</v>
      </c>
    </row>
    <row r="137" spans="1:5" x14ac:dyDescent="0.25">
      <c r="A137" t="s">
        <v>190</v>
      </c>
      <c r="B137" t="s">
        <v>188</v>
      </c>
      <c r="C137" s="16" t="s">
        <v>95</v>
      </c>
      <c r="D137" s="16" t="s">
        <v>190</v>
      </c>
      <c r="E137" s="4">
        <v>10</v>
      </c>
    </row>
    <row r="138" spans="1:5" s="1" customFormat="1" x14ac:dyDescent="0.25">
      <c r="A138" s="1" t="s">
        <v>190</v>
      </c>
      <c r="B138" s="1" t="s">
        <v>189</v>
      </c>
      <c r="C138" s="18" t="s">
        <v>96</v>
      </c>
      <c r="D138" s="18" t="s">
        <v>190</v>
      </c>
      <c r="E138" s="11">
        <f>E134*E135</f>
        <v>0</v>
      </c>
    </row>
    <row r="139" spans="1:5" s="1" customFormat="1" x14ac:dyDescent="0.25">
      <c r="A139" s="1" t="s">
        <v>190</v>
      </c>
      <c r="B139" s="1" t="s">
        <v>189</v>
      </c>
      <c r="C139" s="18" t="s">
        <v>97</v>
      </c>
      <c r="D139" s="18" t="s">
        <v>190</v>
      </c>
      <c r="E139" s="11">
        <f>E136*E137</f>
        <v>1750</v>
      </c>
    </row>
    <row r="140" spans="1:5" s="2" customFormat="1" x14ac:dyDescent="0.25">
      <c r="A140" s="1" t="s">
        <v>190</v>
      </c>
      <c r="B140" s="1" t="s">
        <v>189</v>
      </c>
      <c r="C140" s="8" t="s">
        <v>98</v>
      </c>
      <c r="D140" s="19" t="s">
        <v>190</v>
      </c>
      <c r="E140" s="7">
        <f>(E138+E139)*E43*(44/28)*E37</f>
        <v>7287.5</v>
      </c>
    </row>
    <row r="141" spans="1:5" x14ac:dyDescent="0.25">
      <c r="A141" t="s">
        <v>190</v>
      </c>
      <c r="B141" t="s">
        <v>188</v>
      </c>
      <c r="C141" s="16" t="s">
        <v>99</v>
      </c>
      <c r="D141" s="16" t="s">
        <v>190</v>
      </c>
      <c r="E141" s="4">
        <v>0</v>
      </c>
    </row>
    <row r="142" spans="1:5" x14ac:dyDescent="0.25">
      <c r="A142" t="s">
        <v>190</v>
      </c>
      <c r="B142" t="s">
        <v>188</v>
      </c>
      <c r="C142" s="16" t="s">
        <v>100</v>
      </c>
      <c r="D142" s="16" t="s">
        <v>190</v>
      </c>
      <c r="E142" s="4">
        <v>17.5</v>
      </c>
    </row>
    <row r="143" spans="1:5" x14ac:dyDescent="0.25">
      <c r="A143" t="s">
        <v>190</v>
      </c>
      <c r="B143" t="s">
        <v>188</v>
      </c>
      <c r="C143" s="16" t="s">
        <v>77</v>
      </c>
      <c r="D143" s="16" t="s">
        <v>190</v>
      </c>
      <c r="E143" s="4">
        <v>0.11</v>
      </c>
    </row>
    <row r="144" spans="1:5" x14ac:dyDescent="0.25">
      <c r="A144" t="s">
        <v>190</v>
      </c>
      <c r="B144" t="s">
        <v>188</v>
      </c>
      <c r="C144" s="16" t="s">
        <v>78</v>
      </c>
      <c r="D144" s="16" t="s">
        <v>190</v>
      </c>
      <c r="E144" s="4">
        <v>0.21</v>
      </c>
    </row>
    <row r="145" spans="1:5" x14ac:dyDescent="0.25">
      <c r="A145" t="s">
        <v>190</v>
      </c>
      <c r="B145" t="s">
        <v>188</v>
      </c>
      <c r="C145" s="16" t="s">
        <v>79</v>
      </c>
      <c r="D145" s="16" t="s">
        <v>190</v>
      </c>
      <c r="E145" s="4">
        <v>0.24</v>
      </c>
    </row>
    <row r="146" spans="1:5" s="1" customFormat="1" x14ac:dyDescent="0.25">
      <c r="A146" s="1" t="s">
        <v>190</v>
      </c>
      <c r="B146" s="1" t="s">
        <v>189</v>
      </c>
      <c r="C146" s="18" t="s">
        <v>101</v>
      </c>
      <c r="D146" s="18" t="s">
        <v>190</v>
      </c>
      <c r="E146" s="11">
        <f>((E141*E143)+(E142*E144))*E44*(44/28)*E37</f>
        <v>15.303749999999999</v>
      </c>
    </row>
    <row r="147" spans="1:5" s="1" customFormat="1" x14ac:dyDescent="0.25">
      <c r="A147" s="1" t="s">
        <v>190</v>
      </c>
      <c r="B147" s="1" t="s">
        <v>189</v>
      </c>
      <c r="C147" s="18" t="s">
        <v>102</v>
      </c>
      <c r="D147" s="18" t="s">
        <v>190</v>
      </c>
      <c r="E147" s="11">
        <f>(E141+E142)*E145*E45*(44/28)*E37</f>
        <v>13.117500000000001</v>
      </c>
    </row>
    <row r="148" spans="1:5" s="1" customFormat="1" x14ac:dyDescent="0.25">
      <c r="A148" s="1" t="s">
        <v>190</v>
      </c>
      <c r="B148" s="1" t="s">
        <v>189</v>
      </c>
      <c r="C148" s="18" t="s">
        <v>103</v>
      </c>
      <c r="D148" s="18" t="s">
        <v>190</v>
      </c>
      <c r="E148" s="11">
        <f>E146+E147</f>
        <v>28.421250000000001</v>
      </c>
    </row>
    <row r="149" spans="1:5" s="2" customFormat="1" ht="15.75" thickBot="1" x14ac:dyDescent="0.3">
      <c r="A149" s="1" t="s">
        <v>190</v>
      </c>
      <c r="B149" s="1" t="s">
        <v>189</v>
      </c>
      <c r="C149" s="19" t="s">
        <v>104</v>
      </c>
      <c r="D149" s="19" t="s">
        <v>190</v>
      </c>
      <c r="E149" s="7">
        <f>E133*(E140+E148)</f>
        <v>2560572.4375</v>
      </c>
    </row>
    <row r="150" spans="1:5" s="14" customFormat="1" x14ac:dyDescent="0.25">
      <c r="A150" s="14" t="s">
        <v>190</v>
      </c>
      <c r="B150" s="14" t="s">
        <v>188</v>
      </c>
      <c r="C150" s="17" t="s">
        <v>72</v>
      </c>
      <c r="D150" s="17" t="s">
        <v>190</v>
      </c>
      <c r="E150" s="12">
        <v>300</v>
      </c>
    </row>
    <row r="151" spans="1:5" x14ac:dyDescent="0.25">
      <c r="A151" t="s">
        <v>190</v>
      </c>
      <c r="B151" t="s">
        <v>188</v>
      </c>
      <c r="C151" s="16" t="s">
        <v>105</v>
      </c>
      <c r="D151" s="16" t="s">
        <v>190</v>
      </c>
      <c r="E151" s="4">
        <v>0</v>
      </c>
    </row>
    <row r="152" spans="1:5" x14ac:dyDescent="0.25">
      <c r="A152" t="s">
        <v>190</v>
      </c>
      <c r="B152" t="s">
        <v>188</v>
      </c>
      <c r="C152" s="16" t="s">
        <v>106</v>
      </c>
      <c r="D152" s="16" t="s">
        <v>190</v>
      </c>
      <c r="E152" s="4">
        <v>0</v>
      </c>
    </row>
    <row r="153" spans="1:5" x14ac:dyDescent="0.25">
      <c r="A153" t="s">
        <v>190</v>
      </c>
      <c r="B153" t="s">
        <v>188</v>
      </c>
      <c r="C153" s="16" t="s">
        <v>107</v>
      </c>
      <c r="D153" s="16" t="s">
        <v>190</v>
      </c>
      <c r="E153" s="4">
        <v>150</v>
      </c>
    </row>
    <row r="154" spans="1:5" x14ac:dyDescent="0.25">
      <c r="A154" t="s">
        <v>190</v>
      </c>
      <c r="B154" t="s">
        <v>188</v>
      </c>
      <c r="C154" s="16" t="s">
        <v>108</v>
      </c>
      <c r="D154" s="16" t="s">
        <v>190</v>
      </c>
      <c r="E154" s="4">
        <v>10</v>
      </c>
    </row>
    <row r="155" spans="1:5" s="1" customFormat="1" x14ac:dyDescent="0.25">
      <c r="A155" s="1" t="s">
        <v>190</v>
      </c>
      <c r="B155" s="1" t="s">
        <v>189</v>
      </c>
      <c r="C155" s="18" t="s">
        <v>109</v>
      </c>
      <c r="D155" s="18" t="s">
        <v>190</v>
      </c>
      <c r="E155" s="11">
        <f>E151*E152</f>
        <v>0</v>
      </c>
    </row>
    <row r="156" spans="1:5" s="1" customFormat="1" x14ac:dyDescent="0.25">
      <c r="A156" s="1" t="s">
        <v>190</v>
      </c>
      <c r="B156" s="1" t="s">
        <v>189</v>
      </c>
      <c r="C156" s="18" t="s">
        <v>110</v>
      </c>
      <c r="D156" s="18" t="s">
        <v>190</v>
      </c>
      <c r="E156" s="11">
        <f>E153*E154</f>
        <v>1500</v>
      </c>
    </row>
    <row r="157" spans="1:5" s="2" customFormat="1" x14ac:dyDescent="0.25">
      <c r="A157" s="1" t="s">
        <v>190</v>
      </c>
      <c r="B157" s="1" t="s">
        <v>189</v>
      </c>
      <c r="C157" s="8" t="s">
        <v>111</v>
      </c>
      <c r="D157" s="19" t="s">
        <v>190</v>
      </c>
      <c r="E157" s="7">
        <f>(E155+E156)*E43*(44/28)*E37</f>
        <v>6246.4285714285706</v>
      </c>
    </row>
    <row r="158" spans="1:5" x14ac:dyDescent="0.25">
      <c r="A158" t="s">
        <v>190</v>
      </c>
      <c r="B158" t="s">
        <v>188</v>
      </c>
      <c r="C158" s="16" t="s">
        <v>112</v>
      </c>
      <c r="D158" s="16" t="s">
        <v>190</v>
      </c>
      <c r="E158" s="4">
        <v>0</v>
      </c>
    </row>
    <row r="159" spans="1:5" x14ac:dyDescent="0.25">
      <c r="A159" t="s">
        <v>190</v>
      </c>
      <c r="B159" t="s">
        <v>188</v>
      </c>
      <c r="C159" s="16" t="s">
        <v>113</v>
      </c>
      <c r="D159" s="16" t="s">
        <v>190</v>
      </c>
      <c r="E159" s="4">
        <v>15</v>
      </c>
    </row>
    <row r="160" spans="1:5" x14ac:dyDescent="0.25">
      <c r="A160" t="s">
        <v>190</v>
      </c>
      <c r="B160" t="s">
        <v>188</v>
      </c>
      <c r="C160" s="16" t="s">
        <v>77</v>
      </c>
      <c r="D160" s="16" t="s">
        <v>190</v>
      </c>
      <c r="E160" s="4">
        <v>0.11</v>
      </c>
    </row>
    <row r="161" spans="1:5" x14ac:dyDescent="0.25">
      <c r="A161" t="s">
        <v>190</v>
      </c>
      <c r="B161" t="s">
        <v>188</v>
      </c>
      <c r="C161" s="16" t="s">
        <v>78</v>
      </c>
      <c r="D161" s="16" t="s">
        <v>190</v>
      </c>
      <c r="E161" s="4">
        <v>0.21</v>
      </c>
    </row>
    <row r="162" spans="1:5" x14ac:dyDescent="0.25">
      <c r="A162" t="s">
        <v>190</v>
      </c>
      <c r="B162" t="s">
        <v>188</v>
      </c>
      <c r="C162" s="16" t="s">
        <v>79</v>
      </c>
      <c r="D162" s="16" t="s">
        <v>190</v>
      </c>
      <c r="E162" s="4">
        <v>0.24</v>
      </c>
    </row>
    <row r="163" spans="1:5" s="1" customFormat="1" x14ac:dyDescent="0.25">
      <c r="A163" s="1" t="s">
        <v>190</v>
      </c>
      <c r="B163" s="1" t="s">
        <v>189</v>
      </c>
      <c r="C163" s="18" t="s">
        <v>114</v>
      </c>
      <c r="D163" s="18" t="s">
        <v>190</v>
      </c>
      <c r="E163" s="11">
        <f>((E158*E160)+(E159*E161))*E44*(44/28)*E37</f>
        <v>13.117500000000001</v>
      </c>
    </row>
    <row r="164" spans="1:5" s="1" customFormat="1" x14ac:dyDescent="0.25">
      <c r="A164" s="1" t="s">
        <v>190</v>
      </c>
      <c r="B164" s="1" t="s">
        <v>189</v>
      </c>
      <c r="C164" s="18" t="s">
        <v>115</v>
      </c>
      <c r="D164" s="18" t="s">
        <v>190</v>
      </c>
      <c r="E164" s="11">
        <f>(E158+E159)*E162*E45*(44/28)*E37</f>
        <v>11.243571428571427</v>
      </c>
    </row>
    <row r="165" spans="1:5" s="1" customFormat="1" x14ac:dyDescent="0.25">
      <c r="A165" s="1" t="s">
        <v>190</v>
      </c>
      <c r="B165" s="1" t="s">
        <v>189</v>
      </c>
      <c r="C165" s="18" t="s">
        <v>116</v>
      </c>
      <c r="D165" s="18" t="s">
        <v>190</v>
      </c>
      <c r="E165" s="11">
        <f>E163+E164</f>
        <v>24.361071428571428</v>
      </c>
    </row>
    <row r="166" spans="1:5" s="2" customFormat="1" ht="15.75" thickBot="1" x14ac:dyDescent="0.3">
      <c r="A166" s="1" t="s">
        <v>190</v>
      </c>
      <c r="B166" s="1" t="s">
        <v>189</v>
      </c>
      <c r="C166" s="19" t="s">
        <v>117</v>
      </c>
      <c r="D166" s="19" t="s">
        <v>190</v>
      </c>
      <c r="E166" s="7">
        <f>E150*(E157+E165)</f>
        <v>1881236.8928571427</v>
      </c>
    </row>
    <row r="167" spans="1:5" s="14" customFormat="1" x14ac:dyDescent="0.25">
      <c r="A167" s="14" t="s">
        <v>190</v>
      </c>
      <c r="B167" s="14" t="s">
        <v>188</v>
      </c>
      <c r="C167" s="17" t="s">
        <v>73</v>
      </c>
      <c r="D167" s="17" t="s">
        <v>190</v>
      </c>
      <c r="E167" s="12">
        <v>250</v>
      </c>
    </row>
    <row r="168" spans="1:5" x14ac:dyDescent="0.25">
      <c r="A168" t="s">
        <v>190</v>
      </c>
      <c r="B168" t="s">
        <v>188</v>
      </c>
      <c r="C168" s="16" t="s">
        <v>118</v>
      </c>
      <c r="D168" s="16" t="s">
        <v>190</v>
      </c>
      <c r="E168" s="4">
        <v>0</v>
      </c>
    </row>
    <row r="169" spans="1:5" x14ac:dyDescent="0.25">
      <c r="A169" t="s">
        <v>190</v>
      </c>
      <c r="B169" t="s">
        <v>188</v>
      </c>
      <c r="C169" s="16" t="s">
        <v>119</v>
      </c>
      <c r="D169" s="16" t="s">
        <v>190</v>
      </c>
      <c r="E169" s="4">
        <v>0</v>
      </c>
    </row>
    <row r="170" spans="1:5" x14ac:dyDescent="0.25">
      <c r="A170" t="s">
        <v>190</v>
      </c>
      <c r="B170" t="s">
        <v>188</v>
      </c>
      <c r="C170" s="16" t="s">
        <v>120</v>
      </c>
      <c r="D170" s="16" t="s">
        <v>190</v>
      </c>
      <c r="E170" s="4">
        <v>125</v>
      </c>
    </row>
    <row r="171" spans="1:5" x14ac:dyDescent="0.25">
      <c r="A171" t="s">
        <v>190</v>
      </c>
      <c r="B171" t="s">
        <v>188</v>
      </c>
      <c r="C171" s="16" t="s">
        <v>121</v>
      </c>
      <c r="D171" s="16" t="s">
        <v>190</v>
      </c>
      <c r="E171" s="4">
        <v>10</v>
      </c>
    </row>
    <row r="172" spans="1:5" s="1" customFormat="1" x14ac:dyDescent="0.25">
      <c r="A172" s="1" t="s">
        <v>190</v>
      </c>
      <c r="B172" s="1" t="s">
        <v>189</v>
      </c>
      <c r="C172" s="18" t="s">
        <v>122</v>
      </c>
      <c r="D172" s="18" t="s">
        <v>190</v>
      </c>
      <c r="E172" s="11">
        <f>E168*E169</f>
        <v>0</v>
      </c>
    </row>
    <row r="173" spans="1:5" s="1" customFormat="1" x14ac:dyDescent="0.25">
      <c r="A173" s="1" t="s">
        <v>190</v>
      </c>
      <c r="B173" s="1" t="s">
        <v>189</v>
      </c>
      <c r="C173" s="18" t="s">
        <v>123</v>
      </c>
      <c r="D173" s="18" t="s">
        <v>190</v>
      </c>
      <c r="E173" s="11">
        <f>E170*E171</f>
        <v>1250</v>
      </c>
    </row>
    <row r="174" spans="1:5" s="2" customFormat="1" x14ac:dyDescent="0.25">
      <c r="A174" s="1" t="s">
        <v>190</v>
      </c>
      <c r="B174" s="1" t="s">
        <v>189</v>
      </c>
      <c r="C174" s="8" t="s">
        <v>124</v>
      </c>
      <c r="D174" s="8" t="s">
        <v>190</v>
      </c>
      <c r="E174" s="7">
        <f>(E172+E173)*E43*(44/28)*E37</f>
        <v>5205.3571428571431</v>
      </c>
    </row>
    <row r="175" spans="1:5" x14ac:dyDescent="0.25">
      <c r="A175" t="s">
        <v>190</v>
      </c>
      <c r="B175" t="s">
        <v>188</v>
      </c>
      <c r="C175" s="16" t="s">
        <v>125</v>
      </c>
      <c r="D175" s="16" t="s">
        <v>190</v>
      </c>
      <c r="E175" s="4">
        <v>0</v>
      </c>
    </row>
    <row r="176" spans="1:5" x14ac:dyDescent="0.25">
      <c r="A176" t="s">
        <v>190</v>
      </c>
      <c r="B176" t="s">
        <v>188</v>
      </c>
      <c r="C176" s="16" t="s">
        <v>126</v>
      </c>
      <c r="D176" s="16" t="s">
        <v>190</v>
      </c>
      <c r="E176" s="4">
        <v>12.5</v>
      </c>
    </row>
    <row r="177" spans="1:5" x14ac:dyDescent="0.25">
      <c r="A177" t="s">
        <v>190</v>
      </c>
      <c r="B177" t="s">
        <v>188</v>
      </c>
      <c r="C177" s="16" t="s">
        <v>77</v>
      </c>
      <c r="D177" s="16" t="s">
        <v>190</v>
      </c>
      <c r="E177" s="4">
        <v>0.11</v>
      </c>
    </row>
    <row r="178" spans="1:5" x14ac:dyDescent="0.25">
      <c r="A178" t="s">
        <v>190</v>
      </c>
      <c r="B178" t="s">
        <v>188</v>
      </c>
      <c r="C178" s="16" t="s">
        <v>78</v>
      </c>
      <c r="D178" s="16" t="s">
        <v>190</v>
      </c>
      <c r="E178" s="4">
        <v>0.21</v>
      </c>
    </row>
    <row r="179" spans="1:5" x14ac:dyDescent="0.25">
      <c r="A179" t="s">
        <v>190</v>
      </c>
      <c r="B179" t="s">
        <v>188</v>
      </c>
      <c r="C179" s="16" t="s">
        <v>79</v>
      </c>
      <c r="D179" s="16" t="s">
        <v>190</v>
      </c>
      <c r="E179" s="4">
        <v>0.24</v>
      </c>
    </row>
    <row r="180" spans="1:5" s="1" customFormat="1" x14ac:dyDescent="0.25">
      <c r="A180" s="1" t="s">
        <v>190</v>
      </c>
      <c r="B180" s="1" t="s">
        <v>189</v>
      </c>
      <c r="C180" s="18" t="s">
        <v>127</v>
      </c>
      <c r="D180" s="18" t="s">
        <v>190</v>
      </c>
      <c r="E180" s="11">
        <f>((E175*E177)+(E176*E178))*E44*(44/28)*E37</f>
        <v>10.931249999999999</v>
      </c>
    </row>
    <row r="181" spans="1:5" s="1" customFormat="1" x14ac:dyDescent="0.25">
      <c r="A181" s="1" t="s">
        <v>190</v>
      </c>
      <c r="B181" s="1" t="s">
        <v>189</v>
      </c>
      <c r="C181" s="18" t="s">
        <v>128</v>
      </c>
      <c r="D181" s="18" t="s">
        <v>190</v>
      </c>
      <c r="E181" s="11">
        <f>(E175+E176)*E179*E45*(44/28)*E37</f>
        <v>9.3696428571428569</v>
      </c>
    </row>
    <row r="182" spans="1:5" s="1" customFormat="1" x14ac:dyDescent="0.25">
      <c r="A182" s="1" t="s">
        <v>190</v>
      </c>
      <c r="B182" s="1" t="s">
        <v>189</v>
      </c>
      <c r="C182" s="18" t="s">
        <v>129</v>
      </c>
      <c r="D182" s="18" t="s">
        <v>190</v>
      </c>
      <c r="E182" s="11">
        <f>E180+E181</f>
        <v>20.300892857142856</v>
      </c>
    </row>
    <row r="183" spans="1:5" s="2" customFormat="1" ht="15.75" thickBot="1" x14ac:dyDescent="0.3">
      <c r="A183" s="1" t="s">
        <v>190</v>
      </c>
      <c r="B183" s="1" t="s">
        <v>189</v>
      </c>
      <c r="C183" s="19" t="s">
        <v>130</v>
      </c>
      <c r="D183" s="19" t="s">
        <v>190</v>
      </c>
      <c r="E183" s="7">
        <f>E167*(E174+E182)</f>
        <v>1306414.5089285714</v>
      </c>
    </row>
    <row r="184" spans="1:5" s="14" customFormat="1" x14ac:dyDescent="0.25">
      <c r="A184" s="14" t="s">
        <v>190</v>
      </c>
      <c r="B184" s="14" t="s">
        <v>188</v>
      </c>
      <c r="C184" s="17" t="s">
        <v>74</v>
      </c>
      <c r="D184" s="17" t="s">
        <v>190</v>
      </c>
      <c r="E184" s="12">
        <v>200</v>
      </c>
    </row>
    <row r="185" spans="1:5" x14ac:dyDescent="0.25">
      <c r="A185" t="s">
        <v>190</v>
      </c>
      <c r="B185" t="s">
        <v>188</v>
      </c>
      <c r="C185" s="16" t="s">
        <v>131</v>
      </c>
      <c r="D185" s="16" t="s">
        <v>190</v>
      </c>
      <c r="E185" s="4">
        <v>0</v>
      </c>
    </row>
    <row r="186" spans="1:5" x14ac:dyDescent="0.25">
      <c r="A186" t="s">
        <v>190</v>
      </c>
      <c r="B186" t="s">
        <v>188</v>
      </c>
      <c r="C186" s="16" t="s">
        <v>132</v>
      </c>
      <c r="D186" s="16" t="s">
        <v>190</v>
      </c>
      <c r="E186" s="4">
        <v>0</v>
      </c>
    </row>
    <row r="187" spans="1:5" x14ac:dyDescent="0.25">
      <c r="A187" t="s">
        <v>190</v>
      </c>
      <c r="B187" t="s">
        <v>188</v>
      </c>
      <c r="C187" s="16" t="s">
        <v>133</v>
      </c>
      <c r="D187" s="16" t="s">
        <v>190</v>
      </c>
      <c r="E187" s="4">
        <v>100</v>
      </c>
    </row>
    <row r="188" spans="1:5" x14ac:dyDescent="0.25">
      <c r="A188" t="s">
        <v>190</v>
      </c>
      <c r="B188" t="s">
        <v>188</v>
      </c>
      <c r="C188" s="16" t="s">
        <v>134</v>
      </c>
      <c r="D188" s="16" t="s">
        <v>190</v>
      </c>
      <c r="E188" s="4">
        <v>10</v>
      </c>
    </row>
    <row r="189" spans="1:5" s="1" customFormat="1" x14ac:dyDescent="0.25">
      <c r="A189" s="1" t="s">
        <v>190</v>
      </c>
      <c r="B189" s="1" t="s">
        <v>189</v>
      </c>
      <c r="C189" s="18" t="s">
        <v>135</v>
      </c>
      <c r="D189" s="18" t="s">
        <v>190</v>
      </c>
      <c r="E189" s="11">
        <f>E185*E186</f>
        <v>0</v>
      </c>
    </row>
    <row r="190" spans="1:5" s="1" customFormat="1" x14ac:dyDescent="0.25">
      <c r="A190" s="1" t="s">
        <v>190</v>
      </c>
      <c r="B190" s="1" t="s">
        <v>189</v>
      </c>
      <c r="C190" s="18" t="s">
        <v>136</v>
      </c>
      <c r="D190" s="18" t="s">
        <v>190</v>
      </c>
      <c r="E190" s="11">
        <f>E187*E188</f>
        <v>1000</v>
      </c>
    </row>
    <row r="191" spans="1:5" s="2" customFormat="1" x14ac:dyDescent="0.25">
      <c r="A191" s="1" t="s">
        <v>190</v>
      </c>
      <c r="B191" s="1" t="s">
        <v>189</v>
      </c>
      <c r="C191" s="8" t="s">
        <v>137</v>
      </c>
      <c r="D191" s="19" t="s">
        <v>190</v>
      </c>
      <c r="E191" s="7">
        <f>(E189+E190)*E43*(44/28)*E37</f>
        <v>4164.2857142857138</v>
      </c>
    </row>
    <row r="192" spans="1:5" x14ac:dyDescent="0.25">
      <c r="A192" t="s">
        <v>190</v>
      </c>
      <c r="B192" t="s">
        <v>188</v>
      </c>
      <c r="C192" s="16" t="s">
        <v>138</v>
      </c>
      <c r="D192" s="16" t="s">
        <v>190</v>
      </c>
      <c r="E192" s="4">
        <v>0</v>
      </c>
    </row>
    <row r="193" spans="1:5" x14ac:dyDescent="0.25">
      <c r="A193" t="s">
        <v>190</v>
      </c>
      <c r="B193" t="s">
        <v>188</v>
      </c>
      <c r="C193" s="16" t="s">
        <v>139</v>
      </c>
      <c r="D193" s="16" t="s">
        <v>190</v>
      </c>
      <c r="E193" s="4">
        <v>10</v>
      </c>
    </row>
    <row r="194" spans="1:5" x14ac:dyDescent="0.25">
      <c r="A194" t="s">
        <v>190</v>
      </c>
      <c r="B194" t="s">
        <v>188</v>
      </c>
      <c r="C194" s="16" t="s">
        <v>77</v>
      </c>
      <c r="D194" s="16" t="s">
        <v>190</v>
      </c>
      <c r="E194" s="4">
        <v>0.11</v>
      </c>
    </row>
    <row r="195" spans="1:5" x14ac:dyDescent="0.25">
      <c r="A195" t="s">
        <v>190</v>
      </c>
      <c r="B195" t="s">
        <v>188</v>
      </c>
      <c r="C195" s="16" t="s">
        <v>78</v>
      </c>
      <c r="D195" s="16" t="s">
        <v>190</v>
      </c>
      <c r="E195" s="4">
        <v>0.21</v>
      </c>
    </row>
    <row r="196" spans="1:5" x14ac:dyDescent="0.25">
      <c r="A196" t="s">
        <v>190</v>
      </c>
      <c r="B196" t="s">
        <v>188</v>
      </c>
      <c r="C196" s="16" t="s">
        <v>79</v>
      </c>
      <c r="D196" s="16" t="s">
        <v>190</v>
      </c>
      <c r="E196" s="4">
        <v>0.24</v>
      </c>
    </row>
    <row r="197" spans="1:5" s="1" customFormat="1" x14ac:dyDescent="0.25">
      <c r="A197" s="1" t="s">
        <v>190</v>
      </c>
      <c r="B197" s="1" t="s">
        <v>189</v>
      </c>
      <c r="C197" s="18" t="s">
        <v>140</v>
      </c>
      <c r="D197" s="18" t="s">
        <v>190</v>
      </c>
      <c r="E197" s="11">
        <f>((E192*E194)+(E193*E195))*E44*(44/28)*E37</f>
        <v>8.745000000000001</v>
      </c>
    </row>
    <row r="198" spans="1:5" s="1" customFormat="1" x14ac:dyDescent="0.25">
      <c r="A198" s="1" t="s">
        <v>190</v>
      </c>
      <c r="B198" s="1" t="s">
        <v>189</v>
      </c>
      <c r="C198" s="18" t="s">
        <v>141</v>
      </c>
      <c r="D198" s="18" t="s">
        <v>190</v>
      </c>
      <c r="E198" s="11">
        <f>(E192+E193)*E196*E45*(44/28)*E37</f>
        <v>7.4957142857142847</v>
      </c>
    </row>
    <row r="199" spans="1:5" s="1" customFormat="1" x14ac:dyDescent="0.25">
      <c r="A199" s="1" t="s">
        <v>190</v>
      </c>
      <c r="B199" s="1" t="s">
        <v>189</v>
      </c>
      <c r="C199" s="18" t="s">
        <v>142</v>
      </c>
      <c r="D199" s="18" t="s">
        <v>190</v>
      </c>
      <c r="E199" s="11">
        <f>E197+E198</f>
        <v>16.240714285714287</v>
      </c>
    </row>
    <row r="200" spans="1:5" s="2" customFormat="1" ht="15.75" thickBot="1" x14ac:dyDescent="0.3">
      <c r="A200" s="1" t="s">
        <v>190</v>
      </c>
      <c r="B200" s="1" t="s">
        <v>189</v>
      </c>
      <c r="C200" s="19" t="s">
        <v>143</v>
      </c>
      <c r="D200" s="19" t="s">
        <v>190</v>
      </c>
      <c r="E200" s="7">
        <f>E184*(E191+E199)</f>
        <v>836105.28571428568</v>
      </c>
    </row>
    <row r="201" spans="1:5" s="21" customFormat="1" x14ac:dyDescent="0.25">
      <c r="A201" s="36" t="s">
        <v>190</v>
      </c>
      <c r="B201" s="36" t="s">
        <v>189</v>
      </c>
      <c r="C201" s="20" t="s">
        <v>7</v>
      </c>
      <c r="D201" s="39" t="s">
        <v>190</v>
      </c>
      <c r="E201" s="20">
        <f>SUM(E200,E183,E166,E149,E132)</f>
        <v>9915767.992428571</v>
      </c>
    </row>
    <row r="202" spans="1:5" s="2" customFormat="1" x14ac:dyDescent="0.25">
      <c r="A202" s="1" t="s">
        <v>190</v>
      </c>
      <c r="B202" s="1" t="s">
        <v>189</v>
      </c>
      <c r="C202" s="7" t="s">
        <v>2</v>
      </c>
      <c r="D202" s="11" t="s">
        <v>190</v>
      </c>
      <c r="E202" s="7">
        <f>E97-E114-E201</f>
        <v>77344.360891867429</v>
      </c>
    </row>
    <row r="203" spans="1:5" s="3" customFormat="1" ht="18" customHeight="1" x14ac:dyDescent="0.3">
      <c r="C203" s="5" t="s">
        <v>0</v>
      </c>
      <c r="D203" s="5"/>
      <c r="E203" s="5"/>
    </row>
    <row r="204" spans="1:5" ht="18" x14ac:dyDescent="0.35">
      <c r="A204" t="s">
        <v>190</v>
      </c>
      <c r="B204" t="s">
        <v>188</v>
      </c>
      <c r="C204" t="s">
        <v>243</v>
      </c>
      <c r="D204" t="s">
        <v>190</v>
      </c>
      <c r="E204" s="42">
        <v>1.5100000000000001E-2</v>
      </c>
    </row>
    <row r="205" spans="1:5" ht="18" x14ac:dyDescent="0.35">
      <c r="A205" t="s">
        <v>190</v>
      </c>
      <c r="B205" t="s">
        <v>188</v>
      </c>
      <c r="C205" t="s">
        <v>244</v>
      </c>
      <c r="D205" t="s">
        <v>190</v>
      </c>
      <c r="E205" s="42">
        <v>2.5000000000000001E-2</v>
      </c>
    </row>
    <row r="206" spans="1:5" s="1" customFormat="1" x14ac:dyDescent="0.25">
      <c r="A206" s="1" t="s">
        <v>190</v>
      </c>
      <c r="B206" s="1" t="s">
        <v>189</v>
      </c>
      <c r="C206" s="1" t="s">
        <v>4</v>
      </c>
      <c r="D206" s="1" t="s">
        <v>190</v>
      </c>
      <c r="E206" s="43">
        <f>(((E204*(E91*E24))^2)+(E205*(E94*E24))^2)^(1/2)*(1/(E92+E95))*0.85</f>
        <v>5.2413047976487027E-2</v>
      </c>
    </row>
    <row r="207" spans="1:5" x14ac:dyDescent="0.25">
      <c r="A207" t="s">
        <v>190</v>
      </c>
      <c r="B207" t="s">
        <v>188</v>
      </c>
      <c r="C207" s="4" t="s">
        <v>173</v>
      </c>
      <c r="D207" s="4" t="s">
        <v>190</v>
      </c>
      <c r="E207" s="4">
        <v>3.7</v>
      </c>
    </row>
    <row r="208" spans="1:5" x14ac:dyDescent="0.25">
      <c r="A208" t="s">
        <v>190</v>
      </c>
      <c r="B208" t="s">
        <v>188</v>
      </c>
      <c r="C208" s="4" t="s">
        <v>174</v>
      </c>
      <c r="D208" s="4" t="s">
        <v>190</v>
      </c>
      <c r="E208" s="4">
        <v>5.5</v>
      </c>
    </row>
    <row r="209" spans="1:5" x14ac:dyDescent="0.25">
      <c r="A209" t="s">
        <v>190</v>
      </c>
      <c r="B209" t="s">
        <v>188</v>
      </c>
      <c r="C209" s="4" t="s">
        <v>175</v>
      </c>
      <c r="D209" s="4" t="s">
        <v>190</v>
      </c>
      <c r="E209" s="4">
        <v>3.4</v>
      </c>
    </row>
    <row r="210" spans="1:5" x14ac:dyDescent="0.25">
      <c r="A210" t="s">
        <v>190</v>
      </c>
      <c r="B210" t="s">
        <v>188</v>
      </c>
      <c r="C210" s="4" t="s">
        <v>176</v>
      </c>
      <c r="D210" s="4" t="s">
        <v>190</v>
      </c>
      <c r="E210" s="4">
        <v>5.0999999999999996</v>
      </c>
    </row>
    <row r="211" spans="1:5" s="1" customFormat="1" ht="13.15" customHeight="1" x14ac:dyDescent="0.25">
      <c r="A211" s="1" t="s">
        <v>190</v>
      </c>
      <c r="B211" s="1" t="s">
        <v>189</v>
      </c>
      <c r="C211" s="11" t="s">
        <v>171</v>
      </c>
      <c r="D211" s="11" t="s">
        <v>190</v>
      </c>
      <c r="E211" s="11">
        <f>E207/E209</f>
        <v>1.0882352941176472</v>
      </c>
    </row>
    <row r="212" spans="1:5" s="1" customFormat="1" x14ac:dyDescent="0.25">
      <c r="A212" s="1" t="s">
        <v>190</v>
      </c>
      <c r="B212" s="1" t="s">
        <v>189</v>
      </c>
      <c r="C212" s="11" t="s">
        <v>172</v>
      </c>
      <c r="D212" s="11" t="s">
        <v>190</v>
      </c>
      <c r="E212" s="11">
        <f>E208/E210</f>
        <v>1.0784313725490198</v>
      </c>
    </row>
    <row r="213" spans="1:5" x14ac:dyDescent="0.25">
      <c r="A213" t="s">
        <v>190</v>
      </c>
      <c r="B213" t="s">
        <v>188</v>
      </c>
      <c r="C213" s="4" t="s">
        <v>170</v>
      </c>
      <c r="D213" s="4" t="s">
        <v>190</v>
      </c>
      <c r="E213" s="4">
        <v>2</v>
      </c>
    </row>
    <row r="214" spans="1:5" x14ac:dyDescent="0.25">
      <c r="A214" t="s">
        <v>190</v>
      </c>
      <c r="B214" t="s">
        <v>188</v>
      </c>
      <c r="C214" s="4" t="s">
        <v>168</v>
      </c>
      <c r="D214" s="4" t="s">
        <v>190</v>
      </c>
      <c r="E214" s="4">
        <v>80</v>
      </c>
    </row>
    <row r="215" spans="1:5" x14ac:dyDescent="0.25">
      <c r="A215" t="s">
        <v>190</v>
      </c>
      <c r="B215" t="s">
        <v>188</v>
      </c>
      <c r="C215" s="4" t="s">
        <v>169</v>
      </c>
      <c r="D215" s="4" t="s">
        <v>190</v>
      </c>
      <c r="E215" s="4">
        <v>20</v>
      </c>
    </row>
    <row r="216" spans="1:5" s="1" customFormat="1" x14ac:dyDescent="0.25">
      <c r="A216" s="1" t="s">
        <v>190</v>
      </c>
      <c r="B216" s="1" t="s">
        <v>189</v>
      </c>
      <c r="C216" s="11" t="s">
        <v>167</v>
      </c>
      <c r="D216" s="11" t="s">
        <v>190</v>
      </c>
      <c r="E216" s="11">
        <f>(E211*(E214/E24))+(E212*(E215/E24))</f>
        <v>0.10862745098039217</v>
      </c>
    </row>
    <row r="217" spans="1:5" s="1" customFormat="1" x14ac:dyDescent="0.25">
      <c r="A217" s="1" t="s">
        <v>190</v>
      </c>
      <c r="B217" s="1" t="s">
        <v>189</v>
      </c>
      <c r="C217" s="7" t="s">
        <v>3</v>
      </c>
      <c r="D217" s="11" t="s">
        <v>190</v>
      </c>
      <c r="E217" s="11">
        <f>IF(E216&lt;=0.25&gt;0, 0.05)</f>
        <v>0.05</v>
      </c>
    </row>
    <row r="218" spans="1:5" s="1" customFormat="1" x14ac:dyDescent="0.25">
      <c r="A218" s="1" t="s">
        <v>190</v>
      </c>
      <c r="B218" s="1" t="s">
        <v>189</v>
      </c>
      <c r="C218" s="7" t="s">
        <v>1</v>
      </c>
      <c r="D218" s="11" t="s">
        <v>190</v>
      </c>
      <c r="E218" s="11">
        <f>E202*(1-E60)*(1-E217)*(1-E206)</f>
        <v>63823.816681207631</v>
      </c>
    </row>
    <row r="219" spans="1:5" x14ac:dyDescent="0.25">
      <c r="E219" s="4"/>
    </row>
    <row r="220" spans="1:5" x14ac:dyDescent="0.25">
      <c r="C220"/>
      <c r="D220"/>
      <c r="E220" s="4"/>
    </row>
    <row r="221" spans="1:5" x14ac:dyDescent="0.25">
      <c r="E221" s="4"/>
    </row>
    <row r="222" spans="1:5" x14ac:dyDescent="0.25">
      <c r="E222" s="4"/>
    </row>
  </sheetData>
  <phoneticPr fontId="5" type="noConversion"/>
  <hyperlinks>
    <hyperlink ref="E13" r:id="rId1" xr:uid="{CB863522-4A34-4742-9709-A013D434CBC2}"/>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2480-69B3-4224-9BDF-4A0EDDB2968D}">
  <dimension ref="A23:B38"/>
  <sheetViews>
    <sheetView topLeftCell="A16" workbookViewId="0">
      <selection activeCell="A24" sqref="A24:XFD37"/>
    </sheetView>
  </sheetViews>
  <sheetFormatPr defaultRowHeight="15" x14ac:dyDescent="0.25"/>
  <cols>
    <col min="1" max="1" width="92.140625" customWidth="1"/>
  </cols>
  <sheetData>
    <row r="23" spans="1:2" ht="15.75" thickBot="1" x14ac:dyDescent="0.3"/>
    <row r="24" spans="1:2" s="22" customFormat="1" ht="15" customHeight="1" x14ac:dyDescent="0.25">
      <c r="A24" s="25" t="s">
        <v>145</v>
      </c>
      <c r="B24" s="22">
        <v>5</v>
      </c>
    </row>
    <row r="25" spans="1:2" s="10" customFormat="1" x14ac:dyDescent="0.25">
      <c r="A25" s="9" t="s">
        <v>146</v>
      </c>
      <c r="B25" s="10">
        <v>2018</v>
      </c>
    </row>
    <row r="26" spans="1:2" s="10" customFormat="1" x14ac:dyDescent="0.25">
      <c r="A26" s="9" t="s">
        <v>156</v>
      </c>
      <c r="B26" s="10">
        <v>2013</v>
      </c>
    </row>
    <row r="27" spans="1:2" s="10" customFormat="1" x14ac:dyDescent="0.25">
      <c r="A27" s="9" t="s">
        <v>159</v>
      </c>
      <c r="B27" s="10">
        <v>2</v>
      </c>
    </row>
    <row r="28" spans="1:2" s="10" customFormat="1" x14ac:dyDescent="0.25">
      <c r="A28" s="9" t="s">
        <v>160</v>
      </c>
      <c r="B28" s="10">
        <v>30</v>
      </c>
    </row>
    <row r="29" spans="1:2" s="10" customFormat="1" x14ac:dyDescent="0.25">
      <c r="A29" s="9" t="s">
        <v>162</v>
      </c>
      <c r="B29" s="10">
        <v>7</v>
      </c>
    </row>
    <row r="30" spans="1:2" s="10" customFormat="1" x14ac:dyDescent="0.25">
      <c r="A30" s="9" t="s">
        <v>161</v>
      </c>
      <c r="B30" s="10">
        <v>36</v>
      </c>
    </row>
    <row r="31" spans="1:2" s="10" customFormat="1" x14ac:dyDescent="0.25">
      <c r="A31" s="9" t="s">
        <v>163</v>
      </c>
      <c r="B31" s="10">
        <v>11</v>
      </c>
    </row>
    <row r="32" spans="1:2" s="10" customFormat="1" x14ac:dyDescent="0.25">
      <c r="A32" s="9" t="s">
        <v>164</v>
      </c>
      <c r="B32" s="10">
        <v>15</v>
      </c>
    </row>
    <row r="33" spans="1:2" s="10" customFormat="1" x14ac:dyDescent="0.25">
      <c r="A33" s="9" t="s">
        <v>165</v>
      </c>
      <c r="B33" s="10">
        <v>75</v>
      </c>
    </row>
    <row r="34" spans="1:2" s="10" customFormat="1" x14ac:dyDescent="0.25">
      <c r="A34" s="9" t="s">
        <v>157</v>
      </c>
      <c r="B34" s="10">
        <f>MAX(B30-B28,0)</f>
        <v>6</v>
      </c>
    </row>
    <row r="35" spans="1:2" s="10" customFormat="1" x14ac:dyDescent="0.25">
      <c r="A35" s="9" t="s">
        <v>158</v>
      </c>
      <c r="B35" s="10">
        <f>MAX(B31-B29,0)</f>
        <v>4</v>
      </c>
    </row>
    <row r="36" spans="1:2" s="10" customFormat="1" x14ac:dyDescent="0.25">
      <c r="A36" s="9" t="s">
        <v>147</v>
      </c>
      <c r="B36" s="10">
        <f>B33-B32</f>
        <v>60</v>
      </c>
    </row>
    <row r="37" spans="1:2" s="24" customFormat="1" ht="15.75" thickBot="1" x14ac:dyDescent="0.3">
      <c r="A37" s="23" t="s">
        <v>144</v>
      </c>
      <c r="B37" s="30">
        <f>B24*1/(B25-B26)*(1/B27)*SUM(B34:B35)*(1/B36)</f>
        <v>8.3333333333333329E-2</v>
      </c>
    </row>
    <row r="38" spans="1:2" x14ac:dyDescent="0.25">
      <c r="B38" s="29"/>
    </row>
  </sheetData>
  <phoneticPr fontId="5"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7163-BEC6-4453-A089-045D19F12B10}">
  <dimension ref="A1:D27"/>
  <sheetViews>
    <sheetView workbookViewId="0">
      <selection activeCell="D3" sqref="D3"/>
    </sheetView>
  </sheetViews>
  <sheetFormatPr defaultRowHeight="15" x14ac:dyDescent="0.25"/>
  <cols>
    <col min="1" max="1" width="15.42578125" style="4" customWidth="1"/>
    <col min="2" max="2" width="19.140625" customWidth="1"/>
    <col min="3" max="3" width="20" customWidth="1"/>
    <col min="4" max="4" width="27.28515625" customWidth="1"/>
  </cols>
  <sheetData>
    <row r="1" spans="1:4" x14ac:dyDescent="0.25">
      <c r="A1" s="4" t="s">
        <v>148</v>
      </c>
      <c r="B1" t="s">
        <v>149</v>
      </c>
      <c r="C1" t="s">
        <v>151</v>
      </c>
      <c r="D1" t="s">
        <v>150</v>
      </c>
    </row>
    <row r="2" spans="1:4" x14ac:dyDescent="0.25">
      <c r="A2" s="4">
        <v>1</v>
      </c>
      <c r="B2">
        <v>20</v>
      </c>
      <c r="C2">
        <v>15</v>
      </c>
    </row>
    <row r="3" spans="1:4" x14ac:dyDescent="0.25">
      <c r="A3" s="4">
        <v>2</v>
      </c>
      <c r="B3">
        <v>25</v>
      </c>
      <c r="C3">
        <v>30</v>
      </c>
      <c r="D3">
        <f t="shared" ref="D3:D21" si="0">MAX(C3-B3,0)</f>
        <v>5</v>
      </c>
    </row>
    <row r="4" spans="1:4" x14ac:dyDescent="0.25">
      <c r="A4" s="4">
        <v>3</v>
      </c>
      <c r="B4">
        <v>20</v>
      </c>
      <c r="C4">
        <v>30</v>
      </c>
      <c r="D4">
        <f t="shared" si="0"/>
        <v>10</v>
      </c>
    </row>
    <row r="5" spans="1:4" x14ac:dyDescent="0.25">
      <c r="A5" s="4">
        <v>4</v>
      </c>
      <c r="B5">
        <v>10</v>
      </c>
      <c r="C5">
        <v>20</v>
      </c>
      <c r="D5">
        <f t="shared" si="0"/>
        <v>10</v>
      </c>
    </row>
    <row r="6" spans="1:4" x14ac:dyDescent="0.25">
      <c r="A6" s="4">
        <v>5</v>
      </c>
      <c r="B6">
        <v>25</v>
      </c>
      <c r="C6">
        <v>35</v>
      </c>
      <c r="D6">
        <f t="shared" si="0"/>
        <v>10</v>
      </c>
    </row>
    <row r="7" spans="1:4" x14ac:dyDescent="0.25">
      <c r="A7" s="4">
        <v>6</v>
      </c>
      <c r="B7">
        <v>10</v>
      </c>
      <c r="C7">
        <v>20</v>
      </c>
      <c r="D7">
        <f t="shared" si="0"/>
        <v>10</v>
      </c>
    </row>
    <row r="8" spans="1:4" x14ac:dyDescent="0.25">
      <c r="A8" s="4">
        <v>7</v>
      </c>
      <c r="B8">
        <v>5</v>
      </c>
      <c r="C8">
        <v>15</v>
      </c>
      <c r="D8">
        <f t="shared" si="0"/>
        <v>10</v>
      </c>
    </row>
    <row r="9" spans="1:4" x14ac:dyDescent="0.25">
      <c r="A9" s="4">
        <v>8</v>
      </c>
      <c r="B9">
        <v>5</v>
      </c>
      <c r="C9">
        <v>0</v>
      </c>
      <c r="D9">
        <f t="shared" si="0"/>
        <v>0</v>
      </c>
    </row>
    <row r="10" spans="1:4" x14ac:dyDescent="0.25">
      <c r="A10" s="4">
        <v>9</v>
      </c>
      <c r="B10">
        <v>10</v>
      </c>
      <c r="C10">
        <v>5</v>
      </c>
      <c r="D10">
        <f t="shared" si="0"/>
        <v>0</v>
      </c>
    </row>
    <row r="11" spans="1:4" x14ac:dyDescent="0.25">
      <c r="A11" s="4">
        <v>10</v>
      </c>
      <c r="B11">
        <v>15</v>
      </c>
      <c r="C11">
        <v>25</v>
      </c>
      <c r="D11">
        <f t="shared" si="0"/>
        <v>10</v>
      </c>
    </row>
    <row r="12" spans="1:4" x14ac:dyDescent="0.25">
      <c r="A12" s="4">
        <v>11</v>
      </c>
      <c r="B12">
        <v>5</v>
      </c>
      <c r="C12">
        <v>15</v>
      </c>
      <c r="D12">
        <f t="shared" si="0"/>
        <v>10</v>
      </c>
    </row>
    <row r="13" spans="1:4" x14ac:dyDescent="0.25">
      <c r="A13" s="4">
        <v>12</v>
      </c>
      <c r="B13">
        <v>25</v>
      </c>
      <c r="C13">
        <v>30</v>
      </c>
      <c r="D13">
        <f t="shared" si="0"/>
        <v>5</v>
      </c>
    </row>
    <row r="14" spans="1:4" x14ac:dyDescent="0.25">
      <c r="A14" s="4">
        <v>13</v>
      </c>
      <c r="B14">
        <v>20</v>
      </c>
      <c r="C14">
        <v>20</v>
      </c>
      <c r="D14">
        <f t="shared" si="0"/>
        <v>0</v>
      </c>
    </row>
    <row r="15" spans="1:4" x14ac:dyDescent="0.25">
      <c r="A15" s="4">
        <v>14</v>
      </c>
      <c r="B15">
        <v>5</v>
      </c>
      <c r="C15">
        <v>15</v>
      </c>
      <c r="D15">
        <f t="shared" si="0"/>
        <v>10</v>
      </c>
    </row>
    <row r="16" spans="1:4" x14ac:dyDescent="0.25">
      <c r="A16" s="4">
        <v>15</v>
      </c>
      <c r="B16">
        <v>10</v>
      </c>
      <c r="C16">
        <v>10</v>
      </c>
      <c r="D16">
        <f t="shared" si="0"/>
        <v>0</v>
      </c>
    </row>
    <row r="17" spans="1:4" x14ac:dyDescent="0.25">
      <c r="A17" s="4">
        <v>16</v>
      </c>
      <c r="B17">
        <v>5</v>
      </c>
      <c r="C17">
        <v>0</v>
      </c>
      <c r="D17">
        <f t="shared" si="0"/>
        <v>0</v>
      </c>
    </row>
    <row r="18" spans="1:4" x14ac:dyDescent="0.25">
      <c r="A18" s="4">
        <v>17</v>
      </c>
      <c r="B18">
        <v>20</v>
      </c>
      <c r="C18">
        <v>15</v>
      </c>
      <c r="D18">
        <f t="shared" si="0"/>
        <v>0</v>
      </c>
    </row>
    <row r="19" spans="1:4" x14ac:dyDescent="0.25">
      <c r="A19" s="4">
        <v>18</v>
      </c>
      <c r="B19">
        <v>20</v>
      </c>
      <c r="C19">
        <v>20</v>
      </c>
      <c r="D19">
        <f t="shared" si="0"/>
        <v>0</v>
      </c>
    </row>
    <row r="20" spans="1:4" x14ac:dyDescent="0.25">
      <c r="A20" s="4">
        <v>19</v>
      </c>
      <c r="B20">
        <v>15</v>
      </c>
      <c r="C20">
        <v>10</v>
      </c>
      <c r="D20">
        <f t="shared" si="0"/>
        <v>0</v>
      </c>
    </row>
    <row r="21" spans="1:4" x14ac:dyDescent="0.25">
      <c r="A21" s="4">
        <v>20</v>
      </c>
      <c r="B21">
        <v>25</v>
      </c>
      <c r="C21">
        <v>30</v>
      </c>
      <c r="D21">
        <f t="shared" si="0"/>
        <v>5</v>
      </c>
    </row>
    <row r="22" spans="1:4" s="26" customFormat="1" x14ac:dyDescent="0.25">
      <c r="A22" s="28"/>
    </row>
    <row r="23" spans="1:4" x14ac:dyDescent="0.25">
      <c r="A23" s="4" t="s">
        <v>155</v>
      </c>
      <c r="B23">
        <v>15</v>
      </c>
      <c r="C23">
        <v>75</v>
      </c>
    </row>
    <row r="25" spans="1:4" x14ac:dyDescent="0.25">
      <c r="A25" s="4" t="s">
        <v>152</v>
      </c>
      <c r="B25" s="27">
        <f>AVERAGE(D2:D21)</f>
        <v>5</v>
      </c>
    </row>
    <row r="26" spans="1:4" x14ac:dyDescent="0.25">
      <c r="A26" s="4" t="s">
        <v>153</v>
      </c>
      <c r="B26">
        <f>C23-B23</f>
        <v>60</v>
      </c>
    </row>
    <row r="27" spans="1:4" x14ac:dyDescent="0.25">
      <c r="A27" s="4" t="s">
        <v>154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6" ma:contentTypeDescription="Create a new document." ma:contentTypeScope="" ma:versionID="4ce270e2022d7091cd96e94fbf90d5bf">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b25df88d8b5b879b0aa1d669e6d7364e"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08F415B8-86C3-493B-83F4-FD51EFA566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77255-547c-4997-b980-b8ec387fc921"/>
    <ds:schemaRef ds:uri="544e15c9-ee33-4574-8cbe-20a29a717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F0BD40-0197-45DD-935A-89725C5BCFF4}">
  <ds:schemaRefs>
    <ds:schemaRef ds:uri="http://schemas.microsoft.com/sharepoint/v3/contenttype/forms"/>
  </ds:schemaRefs>
</ds:datastoreItem>
</file>

<file path=customXml/itemProps3.xml><?xml version="1.0" encoding="utf-8"?>
<ds:datastoreItem xmlns:ds="http://schemas.openxmlformats.org/officeDocument/2006/customXml" ds:itemID="{7424C72E-018C-41E9-95E0-92F35E3412EF}">
  <ds:schemaRefs>
    <ds:schemaRef ds:uri="http://purl.org/dc/dcmitype/"/>
    <ds:schemaRef ds:uri="http://purl.org/dc/terms/"/>
    <ds:schemaRef ds:uri="http://schemas.microsoft.com/office/2006/documentManagement/types"/>
    <ds:schemaRef ds:uri="http://www.w3.org/XML/1998/namespace"/>
    <ds:schemaRef ds:uri="544e15c9-ee33-4574-8cbe-20a29a71700b"/>
    <ds:schemaRef ds:uri="http://schemas.openxmlformats.org/package/2006/metadata/core-properties"/>
    <ds:schemaRef ds:uri="http://purl.org/dc/elements/1.1/"/>
    <ds:schemaRef ds:uri="65777255-547c-4997-b980-b8ec387fc92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Performance Benchmark</vt:lpstr>
      <vt:lpstr>Control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Pinnola</dc:creator>
  <cp:lastModifiedBy>Jailine Molina</cp:lastModifiedBy>
  <dcterms:created xsi:type="dcterms:W3CDTF">2023-03-30T00:32:13Z</dcterms:created>
  <dcterms:modified xsi:type="dcterms:W3CDTF">2023-04-18T20:52:03Z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