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xml"/>
  <Override PartName="/xl/tables/table2.xml" ContentType="application/vnd.openxmlformats-officedocument.spreadsheetml.tab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dilmah\"/>
    </mc:Choice>
  </mc:AlternateContent>
  <bookViews>
    <workbookView xWindow="0" yWindow="0" windowWidth="10170" windowHeight="7680" firstSheet="3" activeTab="4"/>
  </bookViews>
  <sheets>
    <sheet name="Tree condi &amp; Photo num" sheetId="11" r:id="rId1"/>
    <sheet name=" AGB Calculation" sheetId="12" r:id="rId2"/>
    <sheet name="Total biomass,O2 &amp;CO2" sheetId="14" r:id="rId3"/>
    <sheet name="Summery" sheetId="15" r:id="rId4"/>
    <sheet name="Es CO₂ seq &amp; To adj AGD" sheetId="16" r:id="rId5"/>
    <sheet name="Plot 1" sheetId="1" r:id="rId6"/>
    <sheet name="Plot 2" sheetId="2" r:id="rId7"/>
    <sheet name="Plot 3" sheetId="3" r:id="rId8"/>
    <sheet name="Plot 4" sheetId="4" r:id="rId9"/>
    <sheet name="Plot 5" sheetId="5" r:id="rId10"/>
    <sheet name="Plot 6" sheetId="6" r:id="rId11"/>
    <sheet name="Plot 7" sheetId="7" r:id="rId12"/>
    <sheet name="Plot 8" sheetId="8" r:id="rId13"/>
    <sheet name="Plot 9" sheetId="9" r:id="rId14"/>
    <sheet name="Plot 10" sheetId="10" r:id="rId15"/>
    <sheet name="Tree Condition summery" sheetId="17" r:id="rId16"/>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9" i="15" l="1"/>
  <c r="D32" i="16"/>
  <c r="E39" i="16" l="1"/>
  <c r="H19" i="17" l="1"/>
  <c r="H18" i="17"/>
  <c r="G19" i="17"/>
  <c r="G18" i="17"/>
  <c r="D13" i="17"/>
  <c r="D12" i="17"/>
  <c r="D11" i="17"/>
  <c r="D10" i="17"/>
  <c r="D9" i="17"/>
  <c r="D8" i="17"/>
  <c r="D7" i="17"/>
  <c r="D6" i="17"/>
  <c r="D5" i="17"/>
  <c r="D4" i="17"/>
  <c r="C13" i="17"/>
  <c r="C12" i="17"/>
  <c r="C11" i="17"/>
  <c r="C10" i="17"/>
  <c r="C9" i="17"/>
  <c r="C8" i="17"/>
  <c r="C7" i="17"/>
  <c r="C6" i="17"/>
  <c r="C5" i="17"/>
  <c r="C4" i="17"/>
  <c r="T5" i="10"/>
  <c r="T6" i="10"/>
  <c r="T7" i="10"/>
  <c r="T8" i="10"/>
  <c r="T9" i="10"/>
  <c r="T10" i="10"/>
  <c r="T11" i="10"/>
  <c r="T12" i="10"/>
  <c r="T13" i="10"/>
  <c r="T14" i="10"/>
  <c r="T15" i="10"/>
  <c r="T16" i="10"/>
  <c r="T17" i="10"/>
  <c r="T18" i="10"/>
  <c r="T19" i="10"/>
  <c r="T4" i="10"/>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 i="9"/>
  <c r="T5" i="8"/>
  <c r="T6" i="8"/>
  <c r="T7" i="8"/>
  <c r="T8" i="8"/>
  <c r="T9" i="8"/>
  <c r="T10" i="8"/>
  <c r="T11" i="8"/>
  <c r="T12" i="8"/>
  <c r="T13" i="8"/>
  <c r="T14" i="8"/>
  <c r="T15" i="8"/>
  <c r="T16" i="8"/>
  <c r="T17" i="8"/>
  <c r="T18" i="8"/>
  <c r="T19" i="8"/>
  <c r="T20" i="8"/>
  <c r="T21" i="8"/>
  <c r="T22" i="8"/>
  <c r="T23" i="8"/>
  <c r="T24" i="8"/>
  <c r="T25" i="8"/>
  <c r="T26" i="8"/>
  <c r="T27" i="8"/>
  <c r="T4" i="8"/>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4" i="7"/>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4" i="6"/>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4" i="5"/>
  <c r="T4" i="4"/>
  <c r="T5" i="4"/>
  <c r="T6" i="4"/>
  <c r="T7" i="4"/>
  <c r="T8" i="4"/>
  <c r="T9" i="4"/>
  <c r="T10" i="4"/>
  <c r="T11" i="4"/>
  <c r="T12" i="4"/>
  <c r="T13" i="4"/>
  <c r="T14" i="4"/>
  <c r="T15" i="4"/>
  <c r="T16" i="4"/>
  <c r="T17" i="4"/>
  <c r="T18" i="4"/>
  <c r="T19" i="4"/>
  <c r="T20" i="4"/>
  <c r="T21" i="4"/>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4" i="3"/>
  <c r="T5" i="2"/>
  <c r="T6" i="2"/>
  <c r="T7" i="2"/>
  <c r="T8" i="2"/>
  <c r="T9" i="2"/>
  <c r="T10" i="2"/>
  <c r="T11" i="2"/>
  <c r="T12" i="2"/>
  <c r="T13" i="2"/>
  <c r="T14" i="2"/>
  <c r="T15" i="2"/>
  <c r="T16" i="2"/>
  <c r="T17" i="2"/>
  <c r="T18" i="2"/>
  <c r="T19" i="2"/>
  <c r="T20" i="2"/>
  <c r="T21" i="2"/>
  <c r="T22" i="2"/>
  <c r="T23" i="2"/>
  <c r="T24" i="2"/>
  <c r="T4" i="2"/>
  <c r="R22" i="10"/>
  <c r="R45" i="9"/>
  <c r="R30" i="8"/>
  <c r="R52" i="7"/>
  <c r="R39" i="6"/>
  <c r="R63" i="5"/>
  <c r="R24" i="4"/>
  <c r="R68" i="3"/>
  <c r="R27" i="2"/>
  <c r="R26" i="2"/>
  <c r="R67" i="3"/>
  <c r="R23" i="4"/>
  <c r="R62" i="5"/>
  <c r="R38" i="6"/>
  <c r="R51" i="7"/>
  <c r="R29" i="8"/>
  <c r="R44" i="9"/>
  <c r="R21" i="10"/>
  <c r="R5" i="2"/>
  <c r="R6" i="2"/>
  <c r="R7" i="2"/>
  <c r="R8" i="2"/>
  <c r="R9" i="2"/>
  <c r="R10" i="2"/>
  <c r="R11" i="2"/>
  <c r="R12" i="2"/>
  <c r="R13" i="2"/>
  <c r="R14" i="2"/>
  <c r="R15" i="2"/>
  <c r="R16" i="2"/>
  <c r="R17" i="2"/>
  <c r="R18" i="2"/>
  <c r="R19" i="2"/>
  <c r="R20" i="2"/>
  <c r="R21" i="2"/>
  <c r="R22" i="2"/>
  <c r="R23" i="2"/>
  <c r="R24" i="2"/>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5" i="4"/>
  <c r="R6" i="4"/>
  <c r="R7" i="4"/>
  <c r="R8" i="4"/>
  <c r="R9" i="4"/>
  <c r="R10" i="4"/>
  <c r="R11" i="4"/>
  <c r="R12" i="4"/>
  <c r="R13" i="4"/>
  <c r="R14" i="4"/>
  <c r="R15" i="4"/>
  <c r="R16" i="4"/>
  <c r="R17" i="4"/>
  <c r="R18" i="4"/>
  <c r="R19" i="4"/>
  <c r="R20" i="4"/>
  <c r="R21" i="4"/>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 i="8"/>
  <c r="R6" i="8"/>
  <c r="R7" i="8"/>
  <c r="R8" i="8"/>
  <c r="R9" i="8"/>
  <c r="R10" i="8"/>
  <c r="R11" i="8"/>
  <c r="R12" i="8"/>
  <c r="R13" i="8"/>
  <c r="R14" i="8"/>
  <c r="R15" i="8"/>
  <c r="R16" i="8"/>
  <c r="R17" i="8"/>
  <c r="R18" i="8"/>
  <c r="R19" i="8"/>
  <c r="R20" i="8"/>
  <c r="R21" i="8"/>
  <c r="R22" i="8"/>
  <c r="R23" i="8"/>
  <c r="R24" i="8"/>
  <c r="R25" i="8"/>
  <c r="R26" i="8"/>
  <c r="R27" i="8"/>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5" i="10"/>
  <c r="R6" i="10"/>
  <c r="R7" i="10"/>
  <c r="R8" i="10"/>
  <c r="R9" i="10"/>
  <c r="R10" i="10"/>
  <c r="R11" i="10"/>
  <c r="R12" i="10"/>
  <c r="R13" i="10"/>
  <c r="R14" i="10"/>
  <c r="R15" i="10"/>
  <c r="R16" i="10"/>
  <c r="R17" i="10"/>
  <c r="R18" i="10"/>
  <c r="R19" i="10"/>
  <c r="R4" i="10"/>
  <c r="R4" i="9"/>
  <c r="R4" i="8"/>
  <c r="R4" i="7"/>
  <c r="R4" i="6"/>
  <c r="R4" i="5"/>
  <c r="R4" i="4"/>
  <c r="R4" i="3"/>
  <c r="R4" i="2"/>
  <c r="R4" i="1"/>
  <c r="R5" i="1"/>
  <c r="R43" i="1" s="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T17" i="1" l="1"/>
  <c r="T32" i="1"/>
  <c r="T11" i="1"/>
  <c r="T25" i="1"/>
  <c r="T36" i="1"/>
  <c r="T20" i="1"/>
  <c r="T10" i="1"/>
  <c r="T5" i="1"/>
  <c r="R42" i="1"/>
  <c r="T29" i="1" s="1"/>
  <c r="F36" i="16"/>
  <c r="F35" i="16"/>
  <c r="F34" i="16"/>
  <c r="F33" i="16"/>
  <c r="F32" i="16"/>
  <c r="F31" i="16"/>
  <c r="F30" i="16"/>
  <c r="F29" i="16"/>
  <c r="F28" i="16"/>
  <c r="T18" i="1" l="1"/>
  <c r="T21" i="1"/>
  <c r="T19" i="1"/>
  <c r="T33" i="1"/>
  <c r="T26" i="1"/>
  <c r="T37" i="1"/>
  <c r="T12" i="1"/>
  <c r="T34" i="1"/>
  <c r="T8" i="1"/>
  <c r="T28" i="1"/>
  <c r="T27" i="1"/>
  <c r="T24" i="1"/>
  <c r="T13" i="1"/>
  <c r="T35" i="1"/>
  <c r="T40" i="1"/>
  <c r="T7" i="1"/>
  <c r="T23" i="1"/>
  <c r="T6" i="1"/>
  <c r="T14" i="1"/>
  <c r="T22" i="1"/>
  <c r="T30" i="1"/>
  <c r="T38" i="1"/>
  <c r="T15" i="1"/>
  <c r="T31" i="1"/>
  <c r="T39" i="1"/>
  <c r="T4" i="1"/>
  <c r="T9" i="1"/>
  <c r="T16" i="1"/>
  <c r="E29" i="16"/>
  <c r="E31" i="16"/>
  <c r="D36" i="16"/>
  <c r="E36" i="16" s="1"/>
  <c r="D34" i="16"/>
  <c r="E34" i="16" s="1"/>
  <c r="D33" i="16"/>
  <c r="E33" i="16" s="1"/>
  <c r="E32" i="16"/>
  <c r="D31" i="16"/>
  <c r="D30" i="16"/>
  <c r="E30" i="16" s="1"/>
  <c r="D29" i="16"/>
  <c r="D28" i="16"/>
  <c r="E28" i="16" s="1"/>
  <c r="C22" i="7" l="1"/>
  <c r="S29" i="15"/>
  <c r="K29" i="15"/>
  <c r="G29" i="15"/>
  <c r="K10" i="15"/>
  <c r="S10" i="15"/>
  <c r="O10" i="15"/>
  <c r="G10" i="15"/>
  <c r="C5" i="2"/>
  <c r="C6" i="2"/>
  <c r="C7" i="2"/>
  <c r="C8" i="2"/>
  <c r="C9" i="2"/>
  <c r="C10" i="2"/>
  <c r="C11" i="2"/>
  <c r="C12" i="2"/>
  <c r="C13" i="2"/>
  <c r="C14" i="2"/>
  <c r="C15" i="2"/>
  <c r="C16" i="2"/>
  <c r="C17" i="2"/>
  <c r="C18" i="2"/>
  <c r="C19" i="2"/>
  <c r="C20" i="2"/>
  <c r="C21" i="2"/>
  <c r="C22" i="2"/>
  <c r="C23" i="2"/>
  <c r="C24" i="2"/>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5" i="4"/>
  <c r="C6" i="4"/>
  <c r="C7" i="4"/>
  <c r="C8" i="4"/>
  <c r="C9" i="4"/>
  <c r="C10" i="4"/>
  <c r="C11" i="4"/>
  <c r="C12" i="4"/>
  <c r="C13" i="4"/>
  <c r="C14" i="4"/>
  <c r="C15" i="4"/>
  <c r="C16" i="4"/>
  <c r="C17" i="4"/>
  <c r="C18" i="4"/>
  <c r="C19" i="4"/>
  <c r="C20" i="4"/>
  <c r="C21" i="4"/>
  <c r="C30" i="5"/>
  <c r="C8" i="5"/>
  <c r="C9" i="5"/>
  <c r="C10" i="5"/>
  <c r="C11" i="5"/>
  <c r="C12" i="5"/>
  <c r="C13" i="5"/>
  <c r="C14" i="5"/>
  <c r="C17" i="5"/>
  <c r="C20" i="5"/>
  <c r="C21" i="5"/>
  <c r="C22" i="5"/>
  <c r="C23" i="5"/>
  <c r="C25" i="5"/>
  <c r="C26" i="5"/>
  <c r="C32" i="5"/>
  <c r="C33" i="5"/>
  <c r="C34" i="5"/>
  <c r="C35" i="5"/>
  <c r="C36" i="5"/>
  <c r="C37" i="5"/>
  <c r="C38" i="5"/>
  <c r="C41" i="5"/>
  <c r="C42" i="5"/>
  <c r="C43" i="5"/>
  <c r="C45" i="5"/>
  <c r="C46" i="5"/>
  <c r="C47" i="5"/>
  <c r="C48" i="5"/>
  <c r="C49" i="5"/>
  <c r="C50" i="5"/>
  <c r="C51" i="5"/>
  <c r="C53" i="5"/>
  <c r="C54" i="5"/>
  <c r="C55" i="5"/>
  <c r="C57" i="5"/>
  <c r="C58" i="5"/>
  <c r="C59" i="5"/>
  <c r="C60" i="5"/>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7" i="7"/>
  <c r="C12" i="7"/>
  <c r="C13" i="7"/>
  <c r="C16" i="7"/>
  <c r="C17" i="7"/>
  <c r="C18" i="7"/>
  <c r="C19" i="7"/>
  <c r="C20" i="7"/>
  <c r="C21" i="7"/>
  <c r="C23" i="7"/>
  <c r="C24" i="7"/>
  <c r="C25" i="7"/>
  <c r="C26" i="7"/>
  <c r="C27" i="7"/>
  <c r="C28" i="7"/>
  <c r="C29" i="7"/>
  <c r="C30" i="7"/>
  <c r="C31" i="7"/>
  <c r="C32" i="7"/>
  <c r="C33" i="7"/>
  <c r="C34" i="7"/>
  <c r="C37" i="7"/>
  <c r="C38" i="7"/>
  <c r="C39" i="7"/>
  <c r="C40" i="7"/>
  <c r="C41" i="7"/>
  <c r="C42" i="7"/>
  <c r="C43" i="7"/>
  <c r="C46" i="7"/>
  <c r="C48" i="7"/>
  <c r="C49" i="7"/>
  <c r="C5" i="8"/>
  <c r="C6" i="8"/>
  <c r="C7" i="8"/>
  <c r="C8" i="8"/>
  <c r="C9" i="8"/>
  <c r="C10" i="8"/>
  <c r="C11" i="8"/>
  <c r="C12" i="8"/>
  <c r="C13" i="8"/>
  <c r="C14" i="8"/>
  <c r="C15" i="8"/>
  <c r="C16" i="8"/>
  <c r="C17" i="8"/>
  <c r="C18" i="8"/>
  <c r="C19" i="8"/>
  <c r="C20" i="8"/>
  <c r="C21" i="8"/>
  <c r="C22" i="8"/>
  <c r="C23" i="8"/>
  <c r="C24" i="8"/>
  <c r="C25" i="8"/>
  <c r="C26" i="8"/>
  <c r="C27" i="8"/>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5" i="10"/>
  <c r="C6" i="10"/>
  <c r="C7" i="10"/>
  <c r="C8" i="10"/>
  <c r="C9" i="10"/>
  <c r="C10" i="10"/>
  <c r="C11" i="10"/>
  <c r="C12" i="10"/>
  <c r="C13" i="10"/>
  <c r="C14" i="10"/>
  <c r="C15" i="10"/>
  <c r="C16" i="10"/>
  <c r="C17" i="10"/>
  <c r="C18" i="10"/>
  <c r="C19" i="10"/>
  <c r="C4" i="10"/>
  <c r="C4" i="9"/>
  <c r="C4" i="8"/>
  <c r="C4" i="7"/>
  <c r="C4" i="6"/>
  <c r="C4" i="5"/>
  <c r="C4" i="4"/>
  <c r="C4" i="3"/>
  <c r="C4" i="2"/>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 i="1"/>
  <c r="D4" i="1"/>
  <c r="D5" i="4"/>
  <c r="D6" i="4"/>
  <c r="D7" i="4"/>
  <c r="D8" i="4"/>
  <c r="D9" i="4"/>
  <c r="D10" i="4"/>
  <c r="D11" i="4"/>
  <c r="D12" i="4"/>
  <c r="D13" i="4"/>
  <c r="D14" i="4"/>
  <c r="D15" i="4"/>
  <c r="D16" i="4"/>
  <c r="D17" i="4"/>
  <c r="D18" i="4"/>
  <c r="D19" i="4"/>
  <c r="D20" i="4"/>
  <c r="D21" i="4"/>
  <c r="D8" i="5"/>
  <c r="D9" i="5"/>
  <c r="D10" i="5"/>
  <c r="D11" i="5"/>
  <c r="D12" i="5"/>
  <c r="D13" i="5"/>
  <c r="D14" i="5"/>
  <c r="D17" i="5"/>
  <c r="D20" i="5"/>
  <c r="D21" i="5"/>
  <c r="D22" i="5"/>
  <c r="D23" i="5"/>
  <c r="D25" i="5"/>
  <c r="D26" i="5"/>
  <c r="D30" i="5"/>
  <c r="D32" i="5"/>
  <c r="D33" i="5"/>
  <c r="D34" i="5"/>
  <c r="D35" i="5"/>
  <c r="D36" i="5"/>
  <c r="D37" i="5"/>
  <c r="D38" i="5"/>
  <c r="D41" i="5"/>
  <c r="D42" i="5"/>
  <c r="D43" i="5"/>
  <c r="D45" i="5"/>
  <c r="D46" i="5"/>
  <c r="D47" i="5"/>
  <c r="D48" i="5"/>
  <c r="D49" i="5"/>
  <c r="D50" i="5"/>
  <c r="D51" i="5"/>
  <c r="D53" i="5"/>
  <c r="D54" i="5"/>
  <c r="D55" i="5"/>
  <c r="D57" i="5"/>
  <c r="D58" i="5"/>
  <c r="D59" i="5"/>
  <c r="D60" i="5"/>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7" i="7"/>
  <c r="D12" i="7"/>
  <c r="D13" i="7"/>
  <c r="D16" i="7"/>
  <c r="D17" i="7"/>
  <c r="D18" i="7"/>
  <c r="D19" i="7"/>
  <c r="D20" i="7"/>
  <c r="D21" i="7"/>
  <c r="D22" i="7"/>
  <c r="D23" i="7"/>
  <c r="D24" i="7"/>
  <c r="D25" i="7"/>
  <c r="D26" i="7"/>
  <c r="D27" i="7"/>
  <c r="D28" i="7"/>
  <c r="D29" i="7"/>
  <c r="D30" i="7"/>
  <c r="D31" i="7"/>
  <c r="D32" i="7"/>
  <c r="D33" i="7"/>
  <c r="D34" i="7"/>
  <c r="D37" i="7"/>
  <c r="D38" i="7"/>
  <c r="D39" i="7"/>
  <c r="D40" i="7"/>
  <c r="D41" i="7"/>
  <c r="D42" i="7"/>
  <c r="D43" i="7"/>
  <c r="D46" i="7"/>
  <c r="D48" i="7"/>
  <c r="D49" i="7"/>
  <c r="D5" i="8"/>
  <c r="D6" i="8"/>
  <c r="D7" i="8"/>
  <c r="D8" i="8"/>
  <c r="D9" i="8"/>
  <c r="D10" i="8"/>
  <c r="D11" i="8"/>
  <c r="D12" i="8"/>
  <c r="D13" i="8"/>
  <c r="D14" i="8"/>
  <c r="D15" i="8"/>
  <c r="D16" i="8"/>
  <c r="D17" i="8"/>
  <c r="D18" i="8"/>
  <c r="D19" i="8"/>
  <c r="D20" i="8"/>
  <c r="D21" i="8"/>
  <c r="D22" i="8"/>
  <c r="D23" i="8"/>
  <c r="D24" i="8"/>
  <c r="D25" i="8"/>
  <c r="D26" i="8"/>
  <c r="D27" i="8"/>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5" i="10"/>
  <c r="D6" i="10"/>
  <c r="D7" i="10"/>
  <c r="D8" i="10"/>
  <c r="D9" i="10"/>
  <c r="D10" i="10"/>
  <c r="D11" i="10"/>
  <c r="D12" i="10"/>
  <c r="D13" i="10"/>
  <c r="D14" i="10"/>
  <c r="D15" i="10"/>
  <c r="D16" i="10"/>
  <c r="D17" i="10"/>
  <c r="D18" i="10"/>
  <c r="D19" i="10"/>
  <c r="D4" i="10"/>
  <c r="D4" i="9"/>
  <c r="D4" i="8"/>
  <c r="D4" i="7"/>
  <c r="D4" i="6"/>
  <c r="D4" i="5"/>
  <c r="D4" i="4"/>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4" i="3"/>
  <c r="D5" i="2"/>
  <c r="D6" i="2"/>
  <c r="D7" i="2"/>
  <c r="D8" i="2"/>
  <c r="D9" i="2"/>
  <c r="D10" i="2"/>
  <c r="D11" i="2"/>
  <c r="D12" i="2"/>
  <c r="D13" i="2"/>
  <c r="D14" i="2"/>
  <c r="D15" i="2"/>
  <c r="D16" i="2"/>
  <c r="D17" i="2"/>
  <c r="D18" i="2"/>
  <c r="D19" i="2"/>
  <c r="D20" i="2"/>
  <c r="D21" i="2"/>
  <c r="D22" i="2"/>
  <c r="D23" i="2"/>
  <c r="D24" i="2"/>
  <c r="D4" i="2"/>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P33" i="10"/>
  <c r="P41" i="8"/>
  <c r="P63" i="7"/>
  <c r="P74" i="5"/>
  <c r="P35" i="4"/>
  <c r="P79" i="3"/>
  <c r="P38" i="2"/>
  <c r="S28" i="15" l="1"/>
  <c r="S27" i="15"/>
  <c r="S26" i="15"/>
  <c r="K28" i="15"/>
  <c r="K27" i="15"/>
  <c r="K26" i="15"/>
  <c r="G28" i="15"/>
  <c r="G27" i="15"/>
  <c r="G26" i="15"/>
  <c r="S9" i="15"/>
  <c r="S8" i="15"/>
  <c r="S7" i="15"/>
  <c r="O9" i="15"/>
  <c r="O8" i="15"/>
  <c r="O7" i="15"/>
  <c r="K9" i="15"/>
  <c r="K8" i="15"/>
  <c r="K7" i="15"/>
  <c r="G9" i="15"/>
  <c r="G8" i="15"/>
  <c r="G7" i="15"/>
  <c r="P29" i="10"/>
  <c r="P37" i="8"/>
  <c r="P59" i="7"/>
  <c r="P70" i="5"/>
  <c r="P75" i="3"/>
  <c r="P34" i="2"/>
  <c r="P30" i="2"/>
  <c r="P71" i="3"/>
  <c r="P66" i="5"/>
  <c r="P55" i="7"/>
  <c r="P33" i="8"/>
  <c r="P25" i="10"/>
  <c r="P21" i="10"/>
  <c r="P29" i="8"/>
  <c r="P27" i="8"/>
  <c r="P51" i="7"/>
  <c r="P62" i="5"/>
  <c r="P67" i="3"/>
  <c r="P26" i="2"/>
  <c r="O56" i="5" l="1"/>
  <c r="O52" i="5"/>
  <c r="O44" i="5"/>
  <c r="O40" i="5"/>
  <c r="O39" i="5"/>
  <c r="O19" i="5"/>
  <c r="O18" i="5"/>
  <c r="O16" i="5"/>
  <c r="O15" i="5"/>
  <c r="O7" i="5"/>
  <c r="O6" i="5"/>
  <c r="O5" i="5"/>
  <c r="O8" i="5"/>
  <c r="O9" i="5"/>
  <c r="O10" i="5"/>
  <c r="O11" i="5"/>
  <c r="O12" i="5"/>
  <c r="O13" i="5"/>
  <c r="O14" i="5"/>
  <c r="O17" i="5"/>
  <c r="O20" i="5"/>
  <c r="O21" i="5"/>
  <c r="O22" i="5"/>
  <c r="O23" i="5"/>
  <c r="O24" i="5"/>
  <c r="O25" i="5"/>
  <c r="O26" i="5"/>
  <c r="O27" i="5"/>
  <c r="O28" i="5"/>
  <c r="O29" i="5"/>
  <c r="O30" i="5"/>
  <c r="O31" i="5"/>
  <c r="O32" i="5"/>
  <c r="O33" i="5"/>
  <c r="O34" i="5"/>
  <c r="O35" i="5"/>
  <c r="O36" i="5"/>
  <c r="O37" i="5"/>
  <c r="O38" i="5"/>
  <c r="O41" i="5"/>
  <c r="O42" i="5"/>
  <c r="O43" i="5"/>
  <c r="O45" i="5"/>
  <c r="O46" i="5"/>
  <c r="O47" i="5"/>
  <c r="O48" i="5"/>
  <c r="O49" i="5"/>
  <c r="O50" i="5"/>
  <c r="O51" i="5"/>
  <c r="O53" i="5"/>
  <c r="O54" i="5"/>
  <c r="O55" i="5"/>
  <c r="O57" i="5"/>
  <c r="O58" i="5"/>
  <c r="O59" i="5"/>
  <c r="O60" i="5"/>
  <c r="O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4" i="5"/>
  <c r="O47" i="7"/>
  <c r="O45" i="7"/>
  <c r="O44" i="7"/>
  <c r="O36" i="7"/>
  <c r="O35" i="7"/>
  <c r="O33" i="7"/>
  <c r="O15" i="7"/>
  <c r="O14" i="7"/>
  <c r="O11" i="7"/>
  <c r="O10" i="7"/>
  <c r="O9" i="7"/>
  <c r="O8" i="7"/>
  <c r="O6" i="7"/>
  <c r="O5" i="7"/>
  <c r="P5" i="7" l="1"/>
  <c r="O7" i="7"/>
  <c r="P9" i="7"/>
  <c r="O12" i="7"/>
  <c r="O13" i="7"/>
  <c r="P13" i="7" s="1"/>
  <c r="O16" i="7"/>
  <c r="O17" i="7"/>
  <c r="O18" i="7"/>
  <c r="O19" i="7"/>
  <c r="O20" i="7"/>
  <c r="P20" i="7" s="1"/>
  <c r="O21" i="7"/>
  <c r="P21" i="7" s="1"/>
  <c r="O22" i="7"/>
  <c r="O23" i="7"/>
  <c r="O24" i="7"/>
  <c r="O25" i="7"/>
  <c r="O26" i="7"/>
  <c r="O27" i="7"/>
  <c r="O28" i="7"/>
  <c r="P28" i="7" s="1"/>
  <c r="O29" i="7"/>
  <c r="P29" i="7" s="1"/>
  <c r="O30" i="7"/>
  <c r="O31" i="7"/>
  <c r="O32" i="7"/>
  <c r="P33" i="7"/>
  <c r="O34" i="7"/>
  <c r="P36" i="7"/>
  <c r="O37" i="7"/>
  <c r="P37" i="7" s="1"/>
  <c r="O38" i="7"/>
  <c r="O39" i="7"/>
  <c r="O40" i="7"/>
  <c r="O41" i="7"/>
  <c r="P41" i="7" s="1"/>
  <c r="O42" i="7"/>
  <c r="O43" i="7"/>
  <c r="P45" i="7"/>
  <c r="O46" i="7"/>
  <c r="P47" i="7"/>
  <c r="O48" i="7"/>
  <c r="O49" i="7"/>
  <c r="P49" i="7" s="1"/>
  <c r="O4" i="7"/>
  <c r="P44" i="7"/>
  <c r="P15" i="7"/>
  <c r="P14" i="7"/>
  <c r="P11" i="7"/>
  <c r="P8" i="7"/>
  <c r="P6" i="7"/>
  <c r="P7" i="7"/>
  <c r="P10" i="7"/>
  <c r="P12" i="7"/>
  <c r="P16" i="7"/>
  <c r="P17" i="7"/>
  <c r="P18" i="7"/>
  <c r="P19" i="7"/>
  <c r="P22" i="7"/>
  <c r="P23" i="7"/>
  <c r="P24" i="7"/>
  <c r="P25" i="7"/>
  <c r="P26" i="7"/>
  <c r="P27" i="7"/>
  <c r="P30" i="7"/>
  <c r="P31" i="7"/>
  <c r="P32" i="7"/>
  <c r="P34" i="7"/>
  <c r="P35" i="7"/>
  <c r="P38" i="7"/>
  <c r="P39" i="7"/>
  <c r="P40" i="7"/>
  <c r="P42" i="7"/>
  <c r="P43" i="7"/>
  <c r="P46" i="7"/>
  <c r="P48" i="7"/>
  <c r="P56" i="5"/>
  <c r="P52" i="5"/>
  <c r="P44" i="5"/>
  <c r="P40" i="5"/>
  <c r="P39" i="5"/>
  <c r="P19" i="5"/>
  <c r="P5" i="5"/>
  <c r="P6" i="5"/>
  <c r="P7" i="5"/>
  <c r="P8" i="5"/>
  <c r="P9" i="5"/>
  <c r="P10" i="5"/>
  <c r="P11" i="5"/>
  <c r="P12" i="5"/>
  <c r="P13" i="5"/>
  <c r="P14" i="5"/>
  <c r="P15" i="5"/>
  <c r="P16" i="5"/>
  <c r="P17" i="5"/>
  <c r="P18" i="5"/>
  <c r="P20" i="5"/>
  <c r="P21" i="5"/>
  <c r="P22" i="5"/>
  <c r="P23" i="5"/>
  <c r="P24" i="5"/>
  <c r="P25" i="5"/>
  <c r="P26" i="5"/>
  <c r="P27" i="5"/>
  <c r="P28" i="5"/>
  <c r="P29" i="5"/>
  <c r="P30" i="5"/>
  <c r="P31" i="5"/>
  <c r="P32" i="5"/>
  <c r="P33" i="5"/>
  <c r="P34" i="5"/>
  <c r="P35" i="5"/>
  <c r="P36" i="5"/>
  <c r="P37" i="5"/>
  <c r="P38" i="5"/>
  <c r="P41" i="5"/>
  <c r="P42" i="5"/>
  <c r="P43" i="5"/>
  <c r="P45" i="5"/>
  <c r="P46" i="5"/>
  <c r="P47" i="5"/>
  <c r="P48" i="5"/>
  <c r="P49" i="5"/>
  <c r="P50" i="5"/>
  <c r="P51" i="5"/>
  <c r="P53" i="5"/>
  <c r="P54" i="5"/>
  <c r="P55" i="5"/>
  <c r="P57" i="5"/>
  <c r="P58" i="5"/>
  <c r="P59" i="5"/>
  <c r="P60" i="5"/>
  <c r="P5" i="10"/>
  <c r="P6" i="10"/>
  <c r="P7" i="10"/>
  <c r="P8" i="10"/>
  <c r="P9" i="10"/>
  <c r="P10" i="10"/>
  <c r="P11" i="10"/>
  <c r="P12" i="10"/>
  <c r="P13" i="10"/>
  <c r="P14" i="10"/>
  <c r="P15" i="10"/>
  <c r="P16" i="10"/>
  <c r="P17" i="10"/>
  <c r="P18" i="10"/>
  <c r="P19" i="10"/>
  <c r="O5" i="10"/>
  <c r="O6" i="10"/>
  <c r="O7" i="10"/>
  <c r="O8" i="10"/>
  <c r="O9" i="10"/>
  <c r="O10" i="10"/>
  <c r="O11" i="10"/>
  <c r="O12" i="10"/>
  <c r="O13" i="10"/>
  <c r="O14" i="10"/>
  <c r="O15" i="10"/>
  <c r="O16" i="10"/>
  <c r="O17" i="10"/>
  <c r="O18" i="10"/>
  <c r="O19" i="10"/>
  <c r="P11" i="9"/>
  <c r="P12" i="9"/>
  <c r="P19" i="9"/>
  <c r="P20" i="9"/>
  <c r="P27" i="9"/>
  <c r="P28" i="9"/>
  <c r="P35" i="9"/>
  <c r="P36" i="9"/>
  <c r="O5" i="9"/>
  <c r="P5" i="9" s="1"/>
  <c r="O6" i="9"/>
  <c r="P6" i="9" s="1"/>
  <c r="O7" i="9"/>
  <c r="P7" i="9" s="1"/>
  <c r="O8" i="9"/>
  <c r="P8" i="9" s="1"/>
  <c r="O9" i="9"/>
  <c r="P9" i="9" s="1"/>
  <c r="O10" i="9"/>
  <c r="P10" i="9" s="1"/>
  <c r="O11" i="9"/>
  <c r="O12" i="9"/>
  <c r="O13" i="9"/>
  <c r="P13" i="9" s="1"/>
  <c r="O14" i="9"/>
  <c r="P14" i="9" s="1"/>
  <c r="O15" i="9"/>
  <c r="P15" i="9" s="1"/>
  <c r="O16" i="9"/>
  <c r="P16" i="9" s="1"/>
  <c r="O17" i="9"/>
  <c r="P17" i="9" s="1"/>
  <c r="O18" i="9"/>
  <c r="P18" i="9" s="1"/>
  <c r="O19" i="9"/>
  <c r="O20" i="9"/>
  <c r="O21" i="9"/>
  <c r="P21" i="9" s="1"/>
  <c r="O22" i="9"/>
  <c r="P22" i="9" s="1"/>
  <c r="O23" i="9"/>
  <c r="P23" i="9" s="1"/>
  <c r="O24" i="9"/>
  <c r="P24" i="9" s="1"/>
  <c r="O25" i="9"/>
  <c r="P25" i="9" s="1"/>
  <c r="O26" i="9"/>
  <c r="P26" i="9" s="1"/>
  <c r="O27" i="9"/>
  <c r="O28" i="9"/>
  <c r="O29" i="9"/>
  <c r="P29" i="9" s="1"/>
  <c r="O30" i="9"/>
  <c r="P30" i="9" s="1"/>
  <c r="O31" i="9"/>
  <c r="P31" i="9" s="1"/>
  <c r="O32" i="9"/>
  <c r="P32" i="9" s="1"/>
  <c r="O33" i="9"/>
  <c r="P33" i="9" s="1"/>
  <c r="O34" i="9"/>
  <c r="P34" i="9" s="1"/>
  <c r="O35" i="9"/>
  <c r="O36" i="9"/>
  <c r="O37" i="9"/>
  <c r="P37" i="9" s="1"/>
  <c r="O38" i="9"/>
  <c r="P38" i="9" s="1"/>
  <c r="O39" i="9"/>
  <c r="P39" i="9" s="1"/>
  <c r="O40" i="9"/>
  <c r="P40" i="9" s="1"/>
  <c r="O41" i="9"/>
  <c r="P41" i="9" s="1"/>
  <c r="O42" i="9"/>
  <c r="P42" i="9" s="1"/>
  <c r="P5" i="8"/>
  <c r="P6" i="8"/>
  <c r="P7" i="8"/>
  <c r="P8" i="8"/>
  <c r="P9" i="8"/>
  <c r="P10" i="8"/>
  <c r="P11" i="8"/>
  <c r="P12" i="8"/>
  <c r="P13" i="8"/>
  <c r="P14" i="8"/>
  <c r="P15" i="8"/>
  <c r="P16" i="8"/>
  <c r="P17" i="8"/>
  <c r="P18" i="8"/>
  <c r="P19" i="8"/>
  <c r="P20" i="8"/>
  <c r="P21" i="8"/>
  <c r="P22" i="8"/>
  <c r="P23" i="8"/>
  <c r="P24" i="8"/>
  <c r="P25" i="8"/>
  <c r="P26" i="8"/>
  <c r="O5" i="8"/>
  <c r="O6" i="8"/>
  <c r="O7" i="8"/>
  <c r="O8" i="8"/>
  <c r="O9" i="8"/>
  <c r="O10" i="8"/>
  <c r="O11" i="8"/>
  <c r="O12" i="8"/>
  <c r="O13" i="8"/>
  <c r="O14" i="8"/>
  <c r="O15" i="8"/>
  <c r="O16" i="8"/>
  <c r="O17" i="8"/>
  <c r="O18" i="8"/>
  <c r="O19" i="8"/>
  <c r="O20" i="8"/>
  <c r="O21" i="8"/>
  <c r="O22" i="8"/>
  <c r="O23" i="8"/>
  <c r="O24" i="8"/>
  <c r="O25" i="8"/>
  <c r="O26" i="8"/>
  <c r="O27" i="8"/>
  <c r="F5" i="6"/>
  <c r="O5" i="6" s="1"/>
  <c r="P5" i="6" s="1"/>
  <c r="F6" i="6"/>
  <c r="O6" i="6" s="1"/>
  <c r="P6" i="6" s="1"/>
  <c r="F7" i="6"/>
  <c r="O7" i="6" s="1"/>
  <c r="P7" i="6" s="1"/>
  <c r="F8" i="6"/>
  <c r="O8" i="6" s="1"/>
  <c r="P8" i="6" s="1"/>
  <c r="F9" i="6"/>
  <c r="O9" i="6" s="1"/>
  <c r="P9" i="6" s="1"/>
  <c r="F10" i="6"/>
  <c r="O10" i="6" s="1"/>
  <c r="P10" i="6" s="1"/>
  <c r="F11" i="6"/>
  <c r="O11" i="6" s="1"/>
  <c r="P11" i="6" s="1"/>
  <c r="F12" i="6"/>
  <c r="O12" i="6" s="1"/>
  <c r="P12" i="6" s="1"/>
  <c r="F13" i="6"/>
  <c r="O13" i="6" s="1"/>
  <c r="P13" i="6" s="1"/>
  <c r="F14" i="6"/>
  <c r="O14" i="6" s="1"/>
  <c r="P14" i="6" s="1"/>
  <c r="F15" i="6"/>
  <c r="O15" i="6" s="1"/>
  <c r="P15" i="6" s="1"/>
  <c r="F16" i="6"/>
  <c r="O16" i="6" s="1"/>
  <c r="P16" i="6" s="1"/>
  <c r="F17" i="6"/>
  <c r="O17" i="6" s="1"/>
  <c r="P17" i="6" s="1"/>
  <c r="F18" i="6"/>
  <c r="O18" i="6" s="1"/>
  <c r="P18" i="6" s="1"/>
  <c r="F19" i="6"/>
  <c r="O19" i="6" s="1"/>
  <c r="P19" i="6" s="1"/>
  <c r="F20" i="6"/>
  <c r="O20" i="6" s="1"/>
  <c r="P20" i="6" s="1"/>
  <c r="F21" i="6"/>
  <c r="O21" i="6" s="1"/>
  <c r="P21" i="6" s="1"/>
  <c r="F22" i="6"/>
  <c r="O22" i="6" s="1"/>
  <c r="P22" i="6" s="1"/>
  <c r="F23" i="6"/>
  <c r="O23" i="6" s="1"/>
  <c r="P23" i="6" s="1"/>
  <c r="F24" i="6"/>
  <c r="O24" i="6" s="1"/>
  <c r="P24" i="6" s="1"/>
  <c r="F25" i="6"/>
  <c r="O25" i="6" s="1"/>
  <c r="P25" i="6" s="1"/>
  <c r="F26" i="6"/>
  <c r="O26" i="6" s="1"/>
  <c r="P26" i="6" s="1"/>
  <c r="F27" i="6"/>
  <c r="O27" i="6" s="1"/>
  <c r="P27" i="6" s="1"/>
  <c r="F28" i="6"/>
  <c r="O28" i="6" s="1"/>
  <c r="P28" i="6" s="1"/>
  <c r="F29" i="6"/>
  <c r="O29" i="6" s="1"/>
  <c r="P29" i="6" s="1"/>
  <c r="F30" i="6"/>
  <c r="O30" i="6" s="1"/>
  <c r="P30" i="6" s="1"/>
  <c r="F31" i="6"/>
  <c r="O31" i="6" s="1"/>
  <c r="P31" i="6" s="1"/>
  <c r="F32" i="6"/>
  <c r="O32" i="6" s="1"/>
  <c r="P32" i="6" s="1"/>
  <c r="F33" i="6"/>
  <c r="O33" i="6" s="1"/>
  <c r="P33" i="6" s="1"/>
  <c r="F34" i="6"/>
  <c r="O34" i="6" s="1"/>
  <c r="P34" i="6" s="1"/>
  <c r="F35" i="6"/>
  <c r="O35" i="6" s="1"/>
  <c r="P35" i="6" s="1"/>
  <c r="F36" i="6"/>
  <c r="O36" i="6" s="1"/>
  <c r="P36" i="6" s="1"/>
  <c r="F4" i="6"/>
  <c r="P5" i="4"/>
  <c r="P6" i="4"/>
  <c r="P7" i="4"/>
  <c r="P9" i="4"/>
  <c r="P10" i="4"/>
  <c r="P11" i="4"/>
  <c r="P12" i="4"/>
  <c r="P13" i="4"/>
  <c r="P14" i="4"/>
  <c r="P15" i="4"/>
  <c r="P16" i="4"/>
  <c r="P17" i="4"/>
  <c r="P18" i="4"/>
  <c r="P19" i="4"/>
  <c r="P20" i="4"/>
  <c r="P21" i="4"/>
  <c r="O5" i="4"/>
  <c r="O6" i="4"/>
  <c r="O7" i="4"/>
  <c r="O8" i="4"/>
  <c r="P8" i="4" s="1"/>
  <c r="P23" i="4" s="1"/>
  <c r="P27" i="4" s="1"/>
  <c r="P31" i="4" s="1"/>
  <c r="O9" i="4"/>
  <c r="O10" i="4"/>
  <c r="O11" i="4"/>
  <c r="O12" i="4"/>
  <c r="O13" i="4"/>
  <c r="O14" i="4"/>
  <c r="O15" i="4"/>
  <c r="O16" i="4"/>
  <c r="O17" i="4"/>
  <c r="O18" i="4"/>
  <c r="O19" i="4"/>
  <c r="O20" i="4"/>
  <c r="O21" i="4"/>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P4" i="10"/>
  <c r="P4" i="8"/>
  <c r="P4" i="7"/>
  <c r="P4" i="5"/>
  <c r="P4" i="4"/>
  <c r="P4" i="3"/>
  <c r="P4" i="2"/>
  <c r="O4" i="10"/>
  <c r="O4" i="9"/>
  <c r="P4" i="9" s="1"/>
  <c r="O4" i="8"/>
  <c r="O4" i="6"/>
  <c r="P4" i="6" s="1"/>
  <c r="O4" i="4"/>
  <c r="O4" i="3"/>
  <c r="O4" i="2"/>
  <c r="P5" i="2"/>
  <c r="P6" i="2"/>
  <c r="P7" i="2"/>
  <c r="P8" i="2"/>
  <c r="P9" i="2"/>
  <c r="P10" i="2"/>
  <c r="P11" i="2"/>
  <c r="P12" i="2"/>
  <c r="P13" i="2"/>
  <c r="P14" i="2"/>
  <c r="P15" i="2"/>
  <c r="P16" i="2"/>
  <c r="P17" i="2"/>
  <c r="P18" i="2"/>
  <c r="P19" i="2"/>
  <c r="P20" i="2"/>
  <c r="P21" i="2"/>
  <c r="P22" i="2"/>
  <c r="P23" i="2"/>
  <c r="P24" i="2"/>
  <c r="O5" i="2"/>
  <c r="O6" i="2"/>
  <c r="O7" i="2"/>
  <c r="O8" i="2"/>
  <c r="O9" i="2"/>
  <c r="O10" i="2"/>
  <c r="O11" i="2"/>
  <c r="O12" i="2"/>
  <c r="O13" i="2"/>
  <c r="O14" i="2"/>
  <c r="O15" i="2"/>
  <c r="O16" i="2"/>
  <c r="O17" i="2"/>
  <c r="O18" i="2"/>
  <c r="O19" i="2"/>
  <c r="O20" i="2"/>
  <c r="O21" i="2"/>
  <c r="O22" i="2"/>
  <c r="O23" i="2"/>
  <c r="O24" i="2"/>
  <c r="O4" i="1"/>
  <c r="P4" i="1" s="1"/>
  <c r="P12" i="1"/>
  <c r="P20" i="1"/>
  <c r="P29" i="1"/>
  <c r="P37" i="1"/>
  <c r="O5" i="1"/>
  <c r="P5" i="1" s="1"/>
  <c r="O6" i="1"/>
  <c r="P6" i="1" s="1"/>
  <c r="O7" i="1"/>
  <c r="P7" i="1" s="1"/>
  <c r="O8" i="1"/>
  <c r="P8" i="1" s="1"/>
  <c r="O9" i="1"/>
  <c r="P9" i="1" s="1"/>
  <c r="O10" i="1"/>
  <c r="P10" i="1" s="1"/>
  <c r="O11" i="1"/>
  <c r="P11" i="1" s="1"/>
  <c r="O12" i="1"/>
  <c r="O13" i="1"/>
  <c r="P13" i="1" s="1"/>
  <c r="O14" i="1"/>
  <c r="P14" i="1" s="1"/>
  <c r="O15" i="1"/>
  <c r="P15" i="1" s="1"/>
  <c r="O16" i="1"/>
  <c r="P16" i="1" s="1"/>
  <c r="O17" i="1"/>
  <c r="P17" i="1" s="1"/>
  <c r="O18" i="1"/>
  <c r="P18" i="1" s="1"/>
  <c r="O19" i="1"/>
  <c r="P19" i="1" s="1"/>
  <c r="O20" i="1"/>
  <c r="O21" i="1"/>
  <c r="P21" i="1" s="1"/>
  <c r="O22" i="1"/>
  <c r="P22" i="1" s="1"/>
  <c r="O23" i="1"/>
  <c r="P23" i="1" s="1"/>
  <c r="O24" i="1"/>
  <c r="P24" i="1" s="1"/>
  <c r="O25" i="1"/>
  <c r="P25" i="1" s="1"/>
  <c r="O26" i="1"/>
  <c r="P26" i="1" s="1"/>
  <c r="O27" i="1"/>
  <c r="P27" i="1" s="1"/>
  <c r="O28" i="1"/>
  <c r="P28" i="1" s="1"/>
  <c r="O29" i="1"/>
  <c r="O30" i="1"/>
  <c r="P30" i="1" s="1"/>
  <c r="O31" i="1"/>
  <c r="P31" i="1" s="1"/>
  <c r="O32" i="1"/>
  <c r="P32" i="1" s="1"/>
  <c r="O33" i="1"/>
  <c r="P33" i="1" s="1"/>
  <c r="O34" i="1"/>
  <c r="P34" i="1" s="1"/>
  <c r="O35" i="1"/>
  <c r="P35" i="1" s="1"/>
  <c r="O36" i="1"/>
  <c r="P36" i="1" s="1"/>
  <c r="O37" i="1"/>
  <c r="O38" i="1"/>
  <c r="P38" i="1" s="1"/>
  <c r="O39" i="1"/>
  <c r="P39" i="1" s="1"/>
  <c r="O40" i="1"/>
  <c r="P40" i="1" s="1"/>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4" i="7"/>
  <c r="P42" i="1" l="1"/>
  <c r="P44" i="9"/>
  <c r="P38" i="6"/>
  <c r="F27" i="16" l="1"/>
  <c r="P46" i="1"/>
  <c r="C7" i="15"/>
  <c r="O26" i="15"/>
  <c r="P48" i="9"/>
  <c r="P42" i="6"/>
  <c r="C26" i="15"/>
  <c r="P54" i="1" l="1"/>
  <c r="C10" i="15" s="1"/>
  <c r="D27" i="16" s="1"/>
  <c r="E27" i="16" s="1"/>
  <c r="P50" i="1"/>
  <c r="C9" i="15" s="1"/>
  <c r="C8" i="15"/>
  <c r="P56" i="9"/>
  <c r="O29" i="15" s="1"/>
  <c r="D35" i="16" s="1"/>
  <c r="E35" i="16" s="1"/>
  <c r="E38" i="16" s="1"/>
  <c r="P52" i="9"/>
  <c r="O28" i="15" s="1"/>
  <c r="O27" i="15"/>
  <c r="P50" i="6"/>
  <c r="C27" i="15"/>
  <c r="P46" i="6"/>
  <c r="C28" i="15" s="1"/>
</calcChain>
</file>

<file path=xl/sharedStrings.xml><?xml version="1.0" encoding="utf-8"?>
<sst xmlns="http://schemas.openxmlformats.org/spreadsheetml/2006/main" count="860" uniqueCount="181">
  <si>
    <t>Plot No</t>
  </si>
  <si>
    <t xml:space="preserve">Tag No </t>
  </si>
  <si>
    <t xml:space="preserve">Common Name </t>
  </si>
  <si>
    <t>Scientific Name</t>
  </si>
  <si>
    <t>DBH(mm)</t>
  </si>
  <si>
    <t>Presence of Flowers/Fruits</t>
  </si>
  <si>
    <t>GPS</t>
  </si>
  <si>
    <t>Photo Numbers</t>
  </si>
  <si>
    <t>sub branchers (sb)</t>
  </si>
  <si>
    <t>branchers(b)</t>
  </si>
  <si>
    <t>Tree Height(m)</t>
  </si>
  <si>
    <t>Tree Condition(A-D)</t>
  </si>
  <si>
    <t>B</t>
  </si>
  <si>
    <t>A</t>
  </si>
  <si>
    <t>C</t>
  </si>
  <si>
    <t>Kalpitiya Mangrove Inventory</t>
  </si>
  <si>
    <t>D</t>
  </si>
  <si>
    <t>Flowers</t>
  </si>
  <si>
    <t>TREE HEIGHT(INCH)</t>
  </si>
  <si>
    <t>Fruits</t>
  </si>
  <si>
    <t>Date:03/2025</t>
  </si>
  <si>
    <t>Good qulity tree/little or no damage/stable tree/healthy canopy</t>
  </si>
  <si>
    <t xml:space="preserve">Minor defects/minor damage </t>
  </si>
  <si>
    <t>Major defect/Significant impact damage to the main stem /A lack of stability</t>
  </si>
  <si>
    <t>Dying or severely defoliated /Stem decay and hollowing out</t>
  </si>
  <si>
    <t>Tree condition:</t>
  </si>
  <si>
    <t>Photo Numbers:</t>
  </si>
  <si>
    <t>photo number</t>
  </si>
  <si>
    <t>species</t>
  </si>
  <si>
    <t>Lumitzera racemosa</t>
  </si>
  <si>
    <t>Avicenia marina</t>
  </si>
  <si>
    <t xml:space="preserve">Rhyzophora </t>
  </si>
  <si>
    <t>Exocaria agallocha</t>
  </si>
  <si>
    <t>*For plot no.5 &amp; 7 sub branches (sb) and branches (b) were not coutered as all most all have only one 'sb' and many 'b' s .</t>
  </si>
  <si>
    <t>*In plot no.5 &amp; 7 plants  with girth more than 15 cm is measured</t>
  </si>
  <si>
    <t>Grith(cm)</t>
  </si>
  <si>
    <t>🔍 1. Understanding the Parameters You Have</t>
  </si>
  <si>
    <r>
      <t>DBH (Diameter at Breast Height)</t>
    </r>
    <r>
      <rPr>
        <sz val="11"/>
        <color theme="1"/>
        <rFont val="Calibri"/>
        <family val="2"/>
        <scheme val="minor"/>
      </rPr>
      <t xml:space="preserve">: in </t>
    </r>
    <r>
      <rPr>
        <b/>
        <sz val="11"/>
        <color theme="1"/>
        <rFont val="Calibri"/>
        <family val="2"/>
        <scheme val="minor"/>
      </rPr>
      <t>millimeters</t>
    </r>
    <r>
      <rPr>
        <sz val="11"/>
        <color theme="1"/>
        <rFont val="Calibri"/>
        <family val="2"/>
        <scheme val="minor"/>
      </rPr>
      <t xml:space="preserve">, so we may need to convert to </t>
    </r>
    <r>
      <rPr>
        <b/>
        <sz val="11"/>
        <color theme="1"/>
        <rFont val="Calibri"/>
        <family val="2"/>
        <scheme val="minor"/>
      </rPr>
      <t>centimeters or meters</t>
    </r>
    <r>
      <rPr>
        <sz val="11"/>
        <color theme="1"/>
        <rFont val="Calibri"/>
        <family val="2"/>
        <scheme val="minor"/>
      </rPr>
      <t>, depending on the equation.</t>
    </r>
  </si>
  <si>
    <r>
      <t>Height</t>
    </r>
    <r>
      <rPr>
        <sz val="11"/>
        <color theme="1"/>
        <rFont val="Calibri"/>
        <family val="2"/>
        <scheme val="minor"/>
      </rPr>
      <t xml:space="preserve">: in </t>
    </r>
    <r>
      <rPr>
        <b/>
        <sz val="11"/>
        <color theme="1"/>
        <rFont val="Calibri"/>
        <family val="2"/>
        <scheme val="minor"/>
      </rPr>
      <t>meters</t>
    </r>
    <r>
      <rPr>
        <sz val="11"/>
        <color theme="1"/>
        <rFont val="Calibri"/>
        <family val="2"/>
        <scheme val="minor"/>
      </rPr>
      <t>.</t>
    </r>
  </si>
  <si>
    <r>
      <t>Number of branches</t>
    </r>
    <r>
      <rPr>
        <sz val="11"/>
        <color theme="1"/>
        <rFont val="Calibri"/>
        <family val="2"/>
        <scheme val="minor"/>
      </rPr>
      <t xml:space="preserve"> and </t>
    </r>
    <r>
      <rPr>
        <b/>
        <sz val="11"/>
        <color theme="1"/>
        <rFont val="Calibri"/>
        <family val="2"/>
        <scheme val="minor"/>
      </rPr>
      <t>sub-branches</t>
    </r>
    <r>
      <rPr>
        <sz val="11"/>
        <color theme="1"/>
        <rFont val="Calibri"/>
        <family val="2"/>
        <scheme val="minor"/>
      </rPr>
      <t>: could be useful if no standard allometric equations fit well and you’re creating a custom model.</t>
    </r>
  </si>
  <si>
    <r>
      <t>Tree Condition (A–D)</t>
    </r>
    <r>
      <rPr>
        <sz val="11"/>
        <color theme="1"/>
        <rFont val="Calibri"/>
        <family val="2"/>
        <scheme val="minor"/>
      </rPr>
      <t>: could act as a correction or quality factor.</t>
    </r>
  </si>
  <si>
    <t>🌱 2. Standard Allometric Equation (General Form)</t>
  </si>
  <si>
    <r>
      <t xml:space="preserve">For </t>
    </r>
    <r>
      <rPr>
        <b/>
        <sz val="11"/>
        <color theme="1"/>
        <rFont val="Calibri"/>
        <family val="2"/>
        <scheme val="minor"/>
      </rPr>
      <t>mangroves</t>
    </r>
    <r>
      <rPr>
        <sz val="11"/>
        <color theme="1"/>
        <rFont val="Calibri"/>
        <family val="2"/>
        <scheme val="minor"/>
      </rPr>
      <t>, researchers often use equations like:</t>
    </r>
  </si>
  <si>
    <t>Biomass = a × (DBH)^b</t>
  </si>
  <si>
    <t>or, more complex:</t>
  </si>
  <si>
    <t>Biomass = a × (DBH^b) × (Height^c)</t>
  </si>
  <si>
    <r>
      <t xml:space="preserve">Where </t>
    </r>
    <r>
      <rPr>
        <sz val="10"/>
        <color theme="1"/>
        <rFont val="Arial Unicode MS"/>
        <family val="2"/>
      </rPr>
      <t>a</t>
    </r>
    <r>
      <rPr>
        <sz val="11"/>
        <color theme="1"/>
        <rFont val="Calibri"/>
        <family val="2"/>
        <scheme val="minor"/>
      </rPr>
      <t xml:space="preserve">, </t>
    </r>
    <r>
      <rPr>
        <sz val="10"/>
        <color theme="1"/>
        <rFont val="Arial Unicode MS"/>
        <family val="2"/>
      </rPr>
      <t>b</t>
    </r>
    <r>
      <rPr>
        <sz val="11"/>
        <color theme="1"/>
        <rFont val="Calibri"/>
        <family val="2"/>
        <scheme val="minor"/>
      </rPr>
      <t xml:space="preserve">, and </t>
    </r>
    <r>
      <rPr>
        <sz val="10"/>
        <color theme="1"/>
        <rFont val="Arial Unicode MS"/>
        <family val="2"/>
      </rPr>
      <t>c</t>
    </r>
    <r>
      <rPr>
        <sz val="11"/>
        <color theme="1"/>
        <rFont val="Calibri"/>
        <family val="2"/>
        <scheme val="minor"/>
      </rPr>
      <t xml:space="preserve"> are </t>
    </r>
    <r>
      <rPr>
        <b/>
        <sz val="11"/>
        <color theme="1"/>
        <rFont val="Calibri"/>
        <family val="2"/>
        <scheme val="minor"/>
      </rPr>
      <t>species-specific constants</t>
    </r>
    <r>
      <rPr>
        <sz val="11"/>
        <color theme="1"/>
        <rFont val="Calibri"/>
        <family val="2"/>
        <scheme val="minor"/>
      </rPr>
      <t>.</t>
    </r>
  </si>
  <si>
    <t>🧪 3. Sample Equations from Literature for Mangroves</t>
  </si>
  <si>
    <r>
      <t xml:space="preserve">Here’s an example from </t>
    </r>
    <r>
      <rPr>
        <i/>
        <sz val="11"/>
        <color theme="1"/>
        <rFont val="Calibri"/>
        <family val="2"/>
        <scheme val="minor"/>
      </rPr>
      <t>Komiyama et al. (2005)</t>
    </r>
    <r>
      <rPr>
        <sz val="11"/>
        <color theme="1"/>
        <rFont val="Calibri"/>
        <family val="2"/>
        <scheme val="minor"/>
      </rPr>
      <t xml:space="preserve"> for </t>
    </r>
    <r>
      <rPr>
        <b/>
        <sz val="11"/>
        <color theme="1"/>
        <rFont val="Calibri"/>
        <family val="2"/>
        <scheme val="minor"/>
      </rPr>
      <t>general mangroves</t>
    </r>
    <r>
      <rPr>
        <sz val="11"/>
        <color theme="1"/>
        <rFont val="Calibri"/>
        <family val="2"/>
        <scheme val="minor"/>
      </rPr>
      <t>:</t>
    </r>
  </si>
  <si>
    <t>Aboveground biomass (AGB):</t>
  </si>
  <si>
    <t>AGB (kg) = 0.251 × (ρ × DBH² × H)^0.916</t>
  </si>
  <si>
    <t>Where:</t>
  </si>
  <si>
    <r>
      <t>ρ</t>
    </r>
    <r>
      <rPr>
        <sz val="11"/>
        <color theme="1"/>
        <rFont val="Calibri"/>
        <family val="2"/>
        <scheme val="minor"/>
      </rPr>
      <t xml:space="preserve"> = wood density (g/cm³), varies by species.</t>
    </r>
  </si>
  <si>
    <r>
      <t>DBH</t>
    </r>
    <r>
      <rPr>
        <sz val="11"/>
        <color theme="1"/>
        <rFont val="Calibri"/>
        <family val="2"/>
        <scheme val="minor"/>
      </rPr>
      <t xml:space="preserve"> = cm</t>
    </r>
  </si>
  <si>
    <r>
      <t>H</t>
    </r>
    <r>
      <rPr>
        <sz val="11"/>
        <color theme="1"/>
        <rFont val="Calibri"/>
        <family val="2"/>
        <scheme val="minor"/>
      </rPr>
      <t xml:space="preserve"> = height in meters</t>
    </r>
  </si>
  <si>
    <t>If you don't know the wood density, we can estimate it from literature depending on the species.</t>
  </si>
  <si>
    <t>🧮 4. Preparing to Calculate Biomass</t>
  </si>
  <si>
    <t>Convert units:</t>
  </si>
  <si>
    <r>
      <t>DBH</t>
    </r>
    <r>
      <rPr>
        <sz val="11"/>
        <color theme="1"/>
        <rFont val="Calibri"/>
        <family val="2"/>
        <scheme val="minor"/>
      </rPr>
      <t xml:space="preserve">: from </t>
    </r>
    <r>
      <rPr>
        <b/>
        <sz val="11"/>
        <color theme="1"/>
        <rFont val="Calibri"/>
        <family val="2"/>
        <scheme val="minor"/>
      </rPr>
      <t>mm to cm</t>
    </r>
    <r>
      <rPr>
        <sz val="11"/>
        <color theme="1"/>
        <rFont val="Calibri"/>
        <family val="2"/>
        <scheme val="minor"/>
      </rPr>
      <t xml:space="preserve"> → divide by 10</t>
    </r>
  </si>
  <si>
    <t>Optional Tree Condition Adjustment:</t>
  </si>
  <si>
    <t>You could apply a condition factor:</t>
  </si>
  <si>
    <t>This would modify the biomass as:</t>
  </si>
  <si>
    <t>Adjusted Biomass = Biomass × Condition Factor</t>
  </si>
  <si>
    <t>✅ Example Calculation</t>
  </si>
  <si>
    <t>Let’s say:</t>
  </si>
  <si>
    <t>DBH = 120 mm → 12 cm</t>
  </si>
  <si>
    <t>Height = 5 m</t>
  </si>
  <si>
    <t>Tree Condition = B</t>
  </si>
  <si>
    <t>ρ = 0.6 g/cm³ (e.g., Rhizophora spp.)</t>
  </si>
  <si>
    <t>AGB = 0.251 × (0.6 × 12² × 5)^0.916</t>
  </si>
  <si>
    <t xml:space="preserve">    = 0.251 × (0.6 × 144 × 5)^0.916</t>
  </si>
  <si>
    <t xml:space="preserve">    = 0.251 × (432)^0.916</t>
  </si>
  <si>
    <t xml:space="preserve">    ≈ 0.251 × 288.35</t>
  </si>
  <si>
    <t xml:space="preserve">    ≈ 72.37 kg</t>
  </si>
  <si>
    <t>Adjusted AGB (for condition B) = 72.37 × 0.9 ≈ 65.13 kg</t>
  </si>
  <si>
    <t>A = 1.0 (Good quality, stable, healthy canopy)</t>
  </si>
  <si>
    <t>B = 0.9 (Minor defects or minor damage)</t>
  </si>
  <si>
    <t>C = 0.75 (Major defects, stem damage, lacks stability)</t>
  </si>
  <si>
    <t>D = 0.5 (Dying, severely defoliated, stem decay)</t>
  </si>
  <si>
    <t>ADG(kg/Tree)</t>
  </si>
  <si>
    <t>Adjusted AGB(for condition)(kg)</t>
  </si>
  <si>
    <t>No.</t>
  </si>
  <si>
    <t>Species Name</t>
  </si>
  <si>
    <t>ρ (g/cm³)</t>
  </si>
  <si>
    <t>Lumnitzera racemosa</t>
  </si>
  <si>
    <t>Avicennia marina</t>
  </si>
  <si>
    <t>Rhizophora spp.</t>
  </si>
  <si>
    <t>Excoecaria agallocha</t>
  </si>
  <si>
    <t>Aegiceras corniculatum</t>
  </si>
  <si>
    <t>Species and Approximate Wood Densities</t>
  </si>
  <si>
    <t>Here's a table of the species and their typical wood densities (from published literature):</t>
  </si>
  <si>
    <t>Aegicerus corniculatum</t>
  </si>
  <si>
    <t>🌿 1. Total Biomass (Above-Ground + Below-Ground)</t>
  </si>
  <si>
    <r>
      <t xml:space="preserve">Mangrove trees store biomass both </t>
    </r>
    <r>
      <rPr>
        <b/>
        <sz val="11"/>
        <color theme="1"/>
        <rFont val="Calibri"/>
        <family val="2"/>
        <scheme val="minor"/>
      </rPr>
      <t>above</t>
    </r>
    <r>
      <rPr>
        <sz val="11"/>
        <color theme="1"/>
        <rFont val="Calibri"/>
        <family val="2"/>
        <scheme val="minor"/>
      </rPr>
      <t xml:space="preserve"> and </t>
    </r>
    <r>
      <rPr>
        <b/>
        <sz val="11"/>
        <color theme="1"/>
        <rFont val="Calibri"/>
        <family val="2"/>
        <scheme val="minor"/>
      </rPr>
      <t>below ground</t>
    </r>
    <r>
      <rPr>
        <sz val="11"/>
        <color theme="1"/>
        <rFont val="Calibri"/>
        <family val="2"/>
        <scheme val="minor"/>
      </rPr>
      <t xml:space="preserve">. A common factor to estimate </t>
    </r>
    <r>
      <rPr>
        <b/>
        <sz val="11"/>
        <color theme="1"/>
        <rFont val="Calibri"/>
        <family val="2"/>
        <scheme val="minor"/>
      </rPr>
      <t>total biomass</t>
    </r>
    <r>
      <rPr>
        <sz val="11"/>
        <color theme="1"/>
        <rFont val="Calibri"/>
        <family val="2"/>
        <scheme val="minor"/>
      </rPr>
      <t xml:space="preserve"> is to add </t>
    </r>
    <r>
      <rPr>
        <b/>
        <sz val="11"/>
        <color theme="1"/>
        <rFont val="Calibri"/>
        <family val="2"/>
        <scheme val="minor"/>
      </rPr>
      <t>below-ground biomass (BGB)</t>
    </r>
    <r>
      <rPr>
        <sz val="11"/>
        <color theme="1"/>
        <rFont val="Calibri"/>
        <family val="2"/>
        <scheme val="minor"/>
      </rPr>
      <t xml:space="preserve"> as a proportion of AGB.</t>
    </r>
  </si>
  <si>
    <t>📌 Typical ratio:</t>
  </si>
  <si>
    <r>
      <t>Below-Ground Biomass = 0.24 × AGB</t>
    </r>
    <r>
      <rPr>
        <sz val="11"/>
        <color theme="1"/>
        <rFont val="Calibri"/>
        <family val="2"/>
        <scheme val="minor"/>
      </rPr>
      <t xml:space="preserve"> (IPCC default value for mangroves)</t>
    </r>
  </si>
  <si>
    <t>So:</t>
  </si>
  <si>
    <t>Total Biomass = AGB + BGB = AGB × (1 + 0.24)</t>
  </si>
  <si>
    <t>= 406.92 × 1.24 = ~504.58 kg</t>
  </si>
  <si>
    <t>🌬️ 2. Oxygen (O₂) Production Estimate</t>
  </si>
  <si>
    <t>Plants produce oxygen during photosynthesis. A simplified ecological estimate is:</t>
  </si>
  <si>
    <r>
      <t xml:space="preserve">📌 </t>
    </r>
    <r>
      <rPr>
        <b/>
        <sz val="11"/>
        <color theme="1"/>
        <rFont val="Calibri"/>
        <family val="2"/>
        <scheme val="minor"/>
      </rPr>
      <t>1 kg of dry biomass = ~1.2 kg of oxygen produced</t>
    </r>
    <r>
      <rPr>
        <sz val="11"/>
        <color theme="1"/>
        <rFont val="Calibri"/>
        <family val="2"/>
        <scheme val="minor"/>
      </rPr>
      <t xml:space="preserve"> annually</t>
    </r>
  </si>
  <si>
    <t>O₂ Produced ≈ 504.58 kg × 1.2 = ~605.5 kg O₂/year</t>
  </si>
  <si>
    <t>✅ Summary for Plot 9:</t>
  </si>
  <si>
    <t>Item</t>
  </si>
  <si>
    <t>Value</t>
  </si>
  <si>
    <t>Total Adjusted AGB (Kg/plot)</t>
  </si>
  <si>
    <t xml:space="preserve">Total Biomass </t>
  </si>
  <si>
    <t>O₂ Produced( kg O₂/year)≈</t>
  </si>
  <si>
    <t>1 kg of dry biomass = ~1.2 kg of oxygen produced annually</t>
  </si>
  <si>
    <t>✅ Summary for Plot 1:</t>
  </si>
  <si>
    <t>✅ Summary for Plot 2:</t>
  </si>
  <si>
    <t>✅ Summary for Plot3:</t>
  </si>
  <si>
    <t>✅ Summary for Plot 4:</t>
  </si>
  <si>
    <t>✅ Summary for Plot 5:</t>
  </si>
  <si>
    <t>✅ Summary for Plot 6:</t>
  </si>
  <si>
    <t>✅ Summary for Plot 7:</t>
  </si>
  <si>
    <t>✅ Summary for Plot 8:</t>
  </si>
  <si>
    <t>✅ Summary for Plot 10:</t>
  </si>
  <si>
    <t>Adjusted AGB(Kg)</t>
  </si>
  <si>
    <t>Estimated Total Biomass(Kg)</t>
  </si>
  <si>
    <t>Estimated O₂ Produced(Kg/year)</t>
  </si>
  <si>
    <t xml:space="preserve">Common names </t>
  </si>
  <si>
    <r>
      <t xml:space="preserve">✅ </t>
    </r>
    <r>
      <rPr>
        <b/>
        <sz val="11"/>
        <color theme="1"/>
        <rFont val="Calibri"/>
        <family val="2"/>
        <scheme val="minor"/>
      </rPr>
      <t>How to Estimate Annual CO₂ Absorption</t>
    </r>
  </si>
  <si>
    <r>
      <t xml:space="preserve">📘 </t>
    </r>
    <r>
      <rPr>
        <b/>
        <sz val="11"/>
        <color theme="1"/>
        <rFont val="Calibri"/>
        <family val="2"/>
        <scheme val="minor"/>
      </rPr>
      <t>General ecological estimate:</t>
    </r>
  </si>
  <si>
    <t>1 kg of dry biomass ≈ 1.83 kg of CO₂ absorbed</t>
  </si>
  <si>
    <t>(Source: IPCC and FAO guidelines for forest carbon stock)</t>
  </si>
  <si>
    <t>✅ Refined Calculation for Mangroves</t>
  </si>
  <si>
    <t>For mangroves, we can still use:</t>
  </si>
  <si>
    <t>Parameter</t>
  </si>
  <si>
    <t>Approximate Conversion</t>
  </si>
  <si>
    <t>Below-ground biomass</t>
  </si>
  <si>
    <r>
      <t xml:space="preserve">24% of AGB </t>
    </r>
    <r>
      <rPr>
        <i/>
        <sz val="11"/>
        <color theme="1"/>
        <rFont val="Calibri"/>
        <family val="2"/>
        <scheme val="minor"/>
      </rPr>
      <t>(IPCC default for mangroves)</t>
    </r>
  </si>
  <si>
    <t>O₂ produced</t>
  </si>
  <si>
    <t>1 kg biomass → ~1.2 kg O₂/year</t>
  </si>
  <si>
    <t>CO₂ absorbed</t>
  </si>
  <si>
    <t>1 kg biomass → ~1.83 kg CO₂/year</t>
  </si>
  <si>
    <r>
      <t xml:space="preserve">These values are standard and accepted for </t>
    </r>
    <r>
      <rPr>
        <b/>
        <sz val="11"/>
        <color theme="1"/>
        <rFont val="Calibri"/>
        <family val="2"/>
        <scheme val="minor"/>
      </rPr>
      <t>mangrove ecosystems</t>
    </r>
    <r>
      <rPr>
        <sz val="11"/>
        <color theme="1"/>
        <rFont val="Calibri"/>
        <family val="2"/>
        <scheme val="minor"/>
      </rPr>
      <t xml:space="preserve"> in global carbon stock studies.</t>
    </r>
  </si>
  <si>
    <t>CO₂ Sequestered( kg CO₂/year)≈</t>
  </si>
  <si>
    <t>බේරිය</t>
  </si>
  <si>
    <t>මණ්ඩ</t>
  </si>
  <si>
    <t>කඩොල්</t>
  </si>
  <si>
    <t>තෙලකීරිය</t>
  </si>
  <si>
    <t>(1)Lumitzera racemosa</t>
  </si>
  <si>
    <t>(2)Avicenia marina</t>
  </si>
  <si>
    <t>(4)Exocaria agallocha</t>
  </si>
  <si>
    <t>(5)Aegicerus corniculatum</t>
  </si>
  <si>
    <t>(3)Aegicerus corniculatum</t>
  </si>
  <si>
    <t>✅ Step-by-Step Conversion</t>
  </si>
  <si>
    <r>
      <t xml:space="preserve">Each plot is </t>
    </r>
    <r>
      <rPr>
        <b/>
        <sz val="11"/>
        <color theme="1"/>
        <rFont val="Calibri"/>
        <family val="2"/>
        <scheme val="minor"/>
      </rPr>
      <t>10m x 10m = 100 m²</t>
    </r>
  </si>
  <si>
    <r>
      <t xml:space="preserve">There are </t>
    </r>
    <r>
      <rPr>
        <b/>
        <sz val="11"/>
        <color theme="1"/>
        <rFont val="Calibri"/>
        <family val="2"/>
        <scheme val="minor"/>
      </rPr>
      <t>10,000 m²</t>
    </r>
    <r>
      <rPr>
        <sz val="11"/>
        <color theme="1"/>
        <rFont val="Calibri"/>
        <family val="2"/>
        <scheme val="minor"/>
      </rPr>
      <t xml:space="preserve"> in 1 hectare → So, each plot is </t>
    </r>
    <r>
      <rPr>
        <b/>
        <sz val="11"/>
        <color theme="1"/>
        <rFont val="Calibri"/>
        <family val="2"/>
        <scheme val="minor"/>
      </rPr>
      <t>1/100 of a hectare</t>
    </r>
  </si>
  <si>
    <r>
      <t xml:space="preserve">That means to get the </t>
    </r>
    <r>
      <rPr>
        <b/>
        <sz val="11"/>
        <color theme="1"/>
        <rFont val="Calibri"/>
        <family val="2"/>
        <scheme val="minor"/>
      </rPr>
      <t>per hectare value</t>
    </r>
    <r>
      <rPr>
        <sz val="11"/>
        <color theme="1"/>
        <rFont val="Calibri"/>
        <family val="2"/>
        <scheme val="minor"/>
      </rPr>
      <t xml:space="preserve">, we multiply the per plot value by </t>
    </r>
    <r>
      <rPr>
        <b/>
        <sz val="11"/>
        <color theme="1"/>
        <rFont val="Calibri"/>
        <family val="2"/>
        <scheme val="minor"/>
      </rPr>
      <t>100</t>
    </r>
    <r>
      <rPr>
        <sz val="11"/>
        <color theme="1"/>
        <rFont val="Calibri"/>
        <family val="2"/>
        <scheme val="minor"/>
      </rPr>
      <t>.</t>
    </r>
  </si>
  <si>
    <r>
      <t xml:space="preserve">Also, since current units are in </t>
    </r>
    <r>
      <rPr>
        <b/>
        <sz val="11"/>
        <color theme="1"/>
        <rFont val="Calibri"/>
        <family val="2"/>
        <scheme val="minor"/>
      </rPr>
      <t>kg CO₂/year</t>
    </r>
    <r>
      <rPr>
        <sz val="11"/>
        <color theme="1"/>
        <rFont val="Calibri"/>
        <family val="2"/>
        <scheme val="minor"/>
      </rPr>
      <t xml:space="preserve">, we’ll convert to </t>
    </r>
    <r>
      <rPr>
        <b/>
        <sz val="11"/>
        <color theme="1"/>
        <rFont val="Calibri"/>
        <family val="2"/>
        <scheme val="minor"/>
      </rPr>
      <t>tonnes CO₂/year</t>
    </r>
    <r>
      <rPr>
        <sz val="11"/>
        <color theme="1"/>
        <rFont val="Calibri"/>
        <family val="2"/>
        <scheme val="minor"/>
      </rPr>
      <t>:</t>
    </r>
  </si>
  <si>
    <t>1 tonne = 1000 kg</t>
  </si>
  <si>
    <t>🔢 CO₂ Sequestration per Plot (in tonnes/ha/year)</t>
  </si>
  <si>
    <t>Let’s apply:</t>
  </si>
  <si>
    <t>CO₂ (tonnes/ha/year)=</t>
  </si>
  <si>
    <t>CO₂ per plot (kg/year)×100​/1000</t>
  </si>
  <si>
    <t>=CO₂ per plot (kg/year)÷10</t>
  </si>
  <si>
    <t>Plot</t>
  </si>
  <si>
    <t>CO₂ Sequestered (kg/year)</t>
  </si>
  <si>
    <t>CO₂ Sequestered (tonnes/ha/year)</t>
  </si>
  <si>
    <t>📊 Final Summary</t>
  </si>
  <si>
    <t>Average CO₂ sequestration across 10 plots:</t>
  </si>
  <si>
    <t>Average CO₂ sequestration across 10 plots</t>
  </si>
  <si>
    <t>tonnes/ha/year</t>
  </si>
  <si>
    <t>Here, there was a part of the lagoon that had been destroyed by fire, an area with well-grown mangrove, as well as areas with small mangrove trees that had been burned under reforestation, and areas with mangrove trees in normal condition. It was prepared based on data obtained from 10 10m * 10m plots selected to cover all.(But in addition, if there were data on the areas under each condition and measurements of the total area, this could be more successful.)</t>
  </si>
  <si>
    <t>හීන් කඩොල්/ ඇවරි කඩොල්</t>
  </si>
  <si>
    <t>Tree Condition Value</t>
  </si>
  <si>
    <t>Avarage Tree Condition value</t>
  </si>
  <si>
    <t>STDEV</t>
  </si>
  <si>
    <t>Standadize Tree Condition</t>
  </si>
  <si>
    <t>plot NO</t>
  </si>
  <si>
    <t>Newly planted plots</t>
  </si>
  <si>
    <t>Avarage Tree Condtion</t>
  </si>
  <si>
    <t>Exisiting planted plots</t>
  </si>
  <si>
    <t>Total Adjusted AGB (Kg)</t>
  </si>
  <si>
    <t>Kg</t>
  </si>
  <si>
    <t>Average Tree Condition value</t>
  </si>
  <si>
    <t xml:space="preserve">Average Tree condition value of Newly Planted Vegetations </t>
  </si>
  <si>
    <t xml:space="preserve">Average Tree condition value of Existing Planted Vegetations </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</si>
</sst>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3.5"/>
      <color theme="1"/>
      <name val="Calibri"/>
      <family val="2"/>
      <scheme val="minor"/>
    </font>
    <font>
      <sz val="10"/>
      <color theme="1"/>
      <name val="Arial Unicode MS"/>
      <family val="2"/>
    </font>
    <font>
      <i/>
      <sz val="11"/>
      <color theme="1"/>
      <name val="Calibri"/>
      <family val="2"/>
      <scheme val="minor"/>
    </font>
    <font>
      <b/>
      <sz val="12"/>
      <color theme="1"/>
      <name val="Calibri"/>
      <family val="2"/>
      <scheme val="minor"/>
    </font>
    <font>
      <b/>
      <sz val="11"/>
      <color rgb="FFFF0000"/>
      <name val="Calibri"/>
      <family val="2"/>
      <scheme val="minor"/>
    </font>
  </fonts>
  <fills count="18">
    <fill>
      <patternFill patternType="none"/>
    </fill>
    <fill>
      <patternFill patternType="gray125"/>
    </fill>
    <fill>
      <patternFill patternType="solid">
        <fgColor theme="6" tint="0.59999389629810485"/>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92D05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4"/>
        <bgColor indexed="64"/>
      </patternFill>
    </fill>
    <fill>
      <patternFill patternType="solid">
        <fgColor theme="4" tint="0.59999389629810485"/>
        <bgColor indexed="64"/>
      </patternFill>
    </fill>
    <fill>
      <patternFill patternType="solid">
        <fgColor theme="7"/>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79">
    <xf numFmtId="0" fontId="0" fillId="0" borderId="0" xfId="0"/>
    <xf numFmtId="0" fontId="0" fillId="0" borderId="0" xfId="0" applyAlignment="1">
      <alignment horizontal="left" vertical="center" wrapText="1"/>
    </xf>
    <xf numFmtId="0" fontId="0" fillId="0" borderId="0" xfId="0" applyAlignment="1">
      <alignment vertical="center"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8" borderId="0" xfId="0" applyFont="1" applyFill="1" applyAlignment="1">
      <alignment vertical="center"/>
    </xf>
    <xf numFmtId="0" fontId="0" fillId="8" borderId="0" xfId="0" applyFill="1" applyAlignment="1">
      <alignment horizontal="left" vertical="center" indent="1"/>
    </xf>
    <xf numFmtId="0" fontId="1" fillId="8" borderId="0" xfId="0" applyFont="1" applyFill="1" applyAlignment="1">
      <alignment horizontal="left" vertical="center" indent="1"/>
    </xf>
    <xf numFmtId="0" fontId="0" fillId="8" borderId="0" xfId="0" applyFill="1" applyAlignment="1">
      <alignment vertical="center"/>
    </xf>
    <xf numFmtId="0" fontId="3" fillId="8" borderId="0" xfId="0" applyFont="1" applyFill="1" applyAlignment="1">
      <alignment vertical="center"/>
    </xf>
    <xf numFmtId="0" fontId="1" fillId="8" borderId="0" xfId="0" applyFont="1" applyFill="1"/>
    <xf numFmtId="0" fontId="5" fillId="8" borderId="0" xfId="0" applyFont="1" applyFill="1" applyAlignment="1">
      <alignment vertical="center"/>
    </xf>
    <xf numFmtId="0" fontId="1" fillId="8" borderId="0" xfId="0" applyFont="1" applyFill="1" applyAlignment="1">
      <alignment horizontal="center" vertical="center" wrapText="1"/>
    </xf>
    <xf numFmtId="0" fontId="0" fillId="8" borderId="0" xfId="0" applyFill="1" applyAlignment="1">
      <alignment vertical="center" wrapText="1"/>
    </xf>
    <xf numFmtId="0" fontId="4" fillId="8" borderId="0" xfId="0" applyFont="1" applyFill="1" applyAlignment="1">
      <alignment vertical="center" wrapText="1"/>
    </xf>
    <xf numFmtId="0" fontId="0" fillId="8" borderId="0" xfId="0" applyFill="1" applyAlignment="1">
      <alignment horizontal="left" vertical="center" wrapText="1"/>
    </xf>
    <xf numFmtId="0" fontId="1" fillId="0" borderId="0" xfId="0" applyFont="1"/>
    <xf numFmtId="0" fontId="0" fillId="9" borderId="0" xfId="0" applyFill="1" applyAlignment="1">
      <alignment vertical="center" wrapText="1"/>
    </xf>
    <xf numFmtId="0" fontId="0" fillId="9" borderId="0" xfId="0" applyFill="1"/>
    <xf numFmtId="0" fontId="0" fillId="9" borderId="0" xfId="0" applyFill="1" applyAlignment="1">
      <alignment wrapText="1"/>
    </xf>
    <xf numFmtId="0" fontId="0" fillId="9" borderId="0" xfId="0" applyFill="1" applyAlignment="1">
      <alignment vertical="center"/>
    </xf>
    <xf numFmtId="0" fontId="1" fillId="0" borderId="0" xfId="0" applyFont="1" applyAlignment="1">
      <alignment wrapText="1"/>
    </xf>
    <xf numFmtId="0" fontId="1" fillId="0" borderId="0" xfId="0" applyFont="1" applyAlignment="1"/>
    <xf numFmtId="0" fontId="2" fillId="6" borderId="0" xfId="0" applyFont="1" applyFill="1" applyAlignment="1">
      <alignment vertical="center"/>
    </xf>
    <xf numFmtId="0" fontId="0" fillId="6" borderId="0" xfId="0" applyFill="1" applyAlignment="1">
      <alignment horizontal="left" vertical="center" indent="1"/>
    </xf>
    <xf numFmtId="0" fontId="1" fillId="6" borderId="0" xfId="0" applyFont="1" applyFill="1" applyAlignment="1">
      <alignment horizontal="left" vertical="center" indent="1"/>
    </xf>
    <xf numFmtId="0" fontId="1" fillId="6" borderId="0" xfId="0" applyFont="1" applyFill="1"/>
    <xf numFmtId="0" fontId="1" fillId="6" borderId="0" xfId="0" applyFont="1" applyFill="1" applyAlignment="1">
      <alignment horizontal="center" vertical="center" wrapText="1"/>
    </xf>
    <xf numFmtId="0" fontId="0" fillId="6" borderId="0" xfId="0" applyFill="1" applyAlignment="1">
      <alignment vertical="center" wrapText="1"/>
    </xf>
    <xf numFmtId="0" fontId="4" fillId="8" borderId="0" xfId="0" applyFont="1" applyFill="1"/>
    <xf numFmtId="0" fontId="4" fillId="0" borderId="0" xfId="0" applyFont="1"/>
    <xf numFmtId="0" fontId="0" fillId="10" borderId="0" xfId="0" applyFill="1"/>
    <xf numFmtId="0" fontId="2" fillId="10" borderId="0" xfId="0" applyFont="1" applyFill="1" applyAlignment="1">
      <alignment vertical="center"/>
    </xf>
    <xf numFmtId="0" fontId="0" fillId="10" borderId="0" xfId="0" applyFill="1" applyAlignment="1">
      <alignment horizontal="left" vertical="center" indent="1"/>
    </xf>
    <xf numFmtId="0" fontId="1" fillId="10" borderId="0" xfId="0" applyFont="1" applyFill="1"/>
    <xf numFmtId="0" fontId="1" fillId="10" borderId="0" xfId="0" applyFont="1" applyFill="1" applyAlignment="1">
      <alignment horizontal="left" vertical="center" indent="1"/>
    </xf>
    <xf numFmtId="0" fontId="1" fillId="10" borderId="0" xfId="0" applyFont="1" applyFill="1" applyAlignment="1">
      <alignment horizontal="center" vertical="center" wrapText="1"/>
    </xf>
    <xf numFmtId="0" fontId="0" fillId="10" borderId="0" xfId="0" applyFill="1" applyAlignment="1">
      <alignment vertical="center" wrapText="1"/>
    </xf>
    <xf numFmtId="0" fontId="1" fillId="10" borderId="0" xfId="0" applyFont="1" applyFill="1" applyAlignment="1">
      <alignment vertical="center" wrapText="1"/>
    </xf>
    <xf numFmtId="0" fontId="1" fillId="7" borderId="0" xfId="0" applyFont="1" applyFill="1" applyAlignment="1">
      <alignment vertical="center" wrapText="1"/>
    </xf>
    <xf numFmtId="0" fontId="1" fillId="7" borderId="0" xfId="0" applyFont="1" applyFill="1"/>
    <xf numFmtId="0" fontId="1" fillId="7" borderId="0" xfId="0" applyFont="1" applyFill="1" applyAlignment="1">
      <alignment wrapText="1"/>
    </xf>
    <xf numFmtId="0" fontId="0" fillId="0" borderId="0" xfId="0" applyAlignment="1"/>
    <xf numFmtId="0" fontId="0" fillId="8" borderId="0" xfId="0" applyFill="1" applyAlignment="1"/>
    <xf numFmtId="0" fontId="1" fillId="7" borderId="0" xfId="0" applyFont="1" applyFill="1" applyAlignment="1">
      <alignment vertical="center"/>
    </xf>
    <xf numFmtId="0" fontId="1" fillId="7" borderId="0" xfId="0" applyFont="1" applyFill="1" applyAlignment="1"/>
    <xf numFmtId="0" fontId="0" fillId="7" borderId="0" xfId="0" applyFill="1" applyAlignment="1"/>
    <xf numFmtId="0" fontId="1" fillId="10" borderId="0" xfId="0" applyFont="1" applyFill="1" applyAlignment="1">
      <alignment wrapText="1"/>
    </xf>
    <xf numFmtId="0" fontId="0" fillId="11" borderId="0" xfId="0" applyFill="1"/>
    <xf numFmtId="0" fontId="4" fillId="11" borderId="0" xfId="0" applyFont="1" applyFill="1"/>
    <xf numFmtId="0" fontId="0" fillId="12" borderId="0" xfId="0" applyFill="1"/>
    <xf numFmtId="0" fontId="4" fillId="12" borderId="0" xfId="0" applyFont="1" applyFill="1"/>
    <xf numFmtId="0" fontId="4" fillId="3" borderId="0" xfId="0" applyFont="1" applyFill="1"/>
    <xf numFmtId="0" fontId="4" fillId="4" borderId="0" xfId="0" applyFont="1" applyFill="1"/>
    <xf numFmtId="0" fontId="4" fillId="5" borderId="0" xfId="0" applyFont="1" applyFill="1"/>
    <xf numFmtId="0" fontId="2" fillId="13" borderId="0" xfId="0" applyFont="1" applyFill="1" applyAlignment="1">
      <alignment vertical="center"/>
    </xf>
    <xf numFmtId="0" fontId="0" fillId="13" borderId="0" xfId="0" applyFill="1"/>
    <xf numFmtId="0" fontId="1" fillId="13" borderId="0" xfId="0" applyFont="1" applyFill="1"/>
    <xf numFmtId="0" fontId="0" fillId="13" borderId="0" xfId="0" applyFill="1" applyAlignment="1">
      <alignment horizontal="left" vertical="center" indent="1"/>
    </xf>
    <xf numFmtId="0" fontId="1" fillId="13" borderId="0" xfId="0" applyFont="1" applyFill="1" applyAlignment="1">
      <alignment horizontal="left" vertical="center" indent="1"/>
    </xf>
    <xf numFmtId="0" fontId="0" fillId="13" borderId="0" xfId="0" applyFill="1" applyAlignment="1">
      <alignment wrapText="1"/>
    </xf>
    <xf numFmtId="0" fontId="0" fillId="0" borderId="0" xfId="0" applyAlignment="1">
      <alignment wrapText="1"/>
    </xf>
    <xf numFmtId="0" fontId="0" fillId="14" borderId="0" xfId="0" applyFill="1"/>
    <xf numFmtId="0" fontId="0" fillId="15" borderId="0" xfId="0" applyFill="1"/>
    <xf numFmtId="0" fontId="0" fillId="16" borderId="0" xfId="0" applyFill="1"/>
    <xf numFmtId="0" fontId="0" fillId="14" borderId="0" xfId="0" applyFill="1" applyAlignment="1">
      <alignment wrapText="1"/>
    </xf>
    <xf numFmtId="0" fontId="0" fillId="16" borderId="0" xfId="0" applyFill="1" applyAlignment="1">
      <alignment wrapText="1"/>
    </xf>
    <xf numFmtId="0" fontId="0" fillId="17" borderId="0" xfId="0" applyFill="1"/>
    <xf numFmtId="0" fontId="4" fillId="7" borderId="0" xfId="0" applyFont="1" applyFill="1" applyAlignment="1">
      <alignment horizontal="center"/>
    </xf>
    <xf numFmtId="0" fontId="4" fillId="0" borderId="0" xfId="0" applyFont="1" applyAlignment="1">
      <alignment horizontal="center"/>
    </xf>
    <xf numFmtId="0" fontId="6" fillId="0" borderId="0" xfId="0"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center"/>
    </xf>
    <xf numFmtId="0" fontId="0" fillId="0" borderId="0" xfId="0" applyAlignment="1">
      <alignment horizontal="left"/>
    </xf>
  </cellXfs>
  <cellStyles count="1">
    <cellStyle name="Normal" xfId="0" builtinId="0"/>
  </cellStyles>
  <dxfs count="5">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Summery!$B$9</c:f>
              <c:strCache>
                <c:ptCount val="1"/>
                <c:pt idx="0">
                  <c:v>Estimated O₂ Produced(Kg/year)</c:v>
                </c:pt>
              </c:strCache>
            </c:strRef>
          </c:tx>
          <c:spPr>
            <a:solidFill>
              <a:schemeClr val="accent1"/>
            </a:solidFill>
            <a:ln>
              <a:noFill/>
            </a:ln>
            <a:effectLst/>
          </c:spPr>
          <c:invertIfNegative val="0"/>
          <c:val>
            <c:numRef>
              <c:f>Summery!$C$9:$S$9</c:f>
              <c:numCache>
                <c:formatCode>General</c:formatCode>
                <c:ptCount val="17"/>
                <c:pt idx="0">
                  <c:v>25.85182678498272</c:v>
                </c:pt>
                <c:pt idx="3">
                  <c:v>0</c:v>
                </c:pt>
                <c:pt idx="4">
                  <c:v>100.27253966686804</c:v>
                </c:pt>
                <c:pt idx="7">
                  <c:v>0</c:v>
                </c:pt>
                <c:pt idx="8">
                  <c:v>19.01321566715653</c:v>
                </c:pt>
                <c:pt idx="11">
                  <c:v>0</c:v>
                </c:pt>
                <c:pt idx="12">
                  <c:v>5.9587058536898736</c:v>
                </c:pt>
                <c:pt idx="15">
                  <c:v>0</c:v>
                </c:pt>
                <c:pt idx="16">
                  <c:v>185.88305475277534</c:v>
                </c:pt>
              </c:numCache>
            </c:numRef>
          </c:val>
        </c:ser>
        <c:dLbls>
          <c:showLegendKey val="0"/>
          <c:showVal val="0"/>
          <c:showCatName val="0"/>
          <c:showSerName val="0"/>
          <c:showPercent val="0"/>
          <c:showBubbleSize val="0"/>
        </c:dLbls>
        <c:gapWidth val="182"/>
        <c:axId val="-1540456480"/>
        <c:axId val="-1540454848"/>
      </c:barChart>
      <c:catAx>
        <c:axId val="-1540456480"/>
        <c:scaling>
          <c:orientation val="minMax"/>
        </c:scaling>
        <c:delete val="1"/>
        <c:axPos val="l"/>
        <c:numFmt formatCode="General" sourceLinked="1"/>
        <c:majorTickMark val="none"/>
        <c:minorTickMark val="none"/>
        <c:tickLblPos val="nextTo"/>
        <c:crossAx val="-1540454848"/>
        <c:crosses val="autoZero"/>
        <c:auto val="1"/>
        <c:lblAlgn val="ctr"/>
        <c:lblOffset val="100"/>
        <c:noMultiLvlLbl val="0"/>
      </c:catAx>
      <c:valAx>
        <c:axId val="-154045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6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Summery!$B$28</c:f>
              <c:strCache>
                <c:ptCount val="1"/>
                <c:pt idx="0">
                  <c:v>Estimated O₂ Produced(Kg/year)</c:v>
                </c:pt>
              </c:strCache>
            </c:strRef>
          </c:tx>
          <c:spPr>
            <a:solidFill>
              <a:schemeClr val="accent1"/>
            </a:solidFill>
            <a:ln>
              <a:noFill/>
            </a:ln>
            <a:effectLst/>
          </c:spPr>
          <c:invertIfNegative val="0"/>
          <c:val>
            <c:numRef>
              <c:f>Summery!$C$28:$S$28</c:f>
              <c:numCache>
                <c:formatCode>General</c:formatCode>
                <c:ptCount val="17"/>
                <c:pt idx="0">
                  <c:v>21.88294223308084</c:v>
                </c:pt>
                <c:pt idx="3">
                  <c:v>0</c:v>
                </c:pt>
                <c:pt idx="4">
                  <c:v>145.87402012263246</c:v>
                </c:pt>
                <c:pt idx="7">
                  <c:v>0</c:v>
                </c:pt>
                <c:pt idx="8">
                  <c:v>5.8781821954412825</c:v>
                </c:pt>
                <c:pt idx="11">
                  <c:v>0</c:v>
                </c:pt>
                <c:pt idx="12">
                  <c:v>13.566668244494917</c:v>
                </c:pt>
                <c:pt idx="15">
                  <c:v>0</c:v>
                </c:pt>
                <c:pt idx="16">
                  <c:v>10.392935159762445</c:v>
                </c:pt>
              </c:numCache>
            </c:numRef>
          </c:val>
        </c:ser>
        <c:dLbls>
          <c:showLegendKey val="0"/>
          <c:showVal val="0"/>
          <c:showCatName val="0"/>
          <c:showSerName val="0"/>
          <c:showPercent val="0"/>
          <c:showBubbleSize val="0"/>
        </c:dLbls>
        <c:gapWidth val="182"/>
        <c:axId val="-1540454304"/>
        <c:axId val="-1540460288"/>
      </c:barChart>
      <c:catAx>
        <c:axId val="-1540454304"/>
        <c:scaling>
          <c:orientation val="minMax"/>
        </c:scaling>
        <c:delete val="1"/>
        <c:axPos val="l"/>
        <c:numFmt formatCode="General" sourceLinked="1"/>
        <c:majorTickMark val="none"/>
        <c:minorTickMark val="none"/>
        <c:tickLblPos val="nextTo"/>
        <c:crossAx val="-1540460288"/>
        <c:crosses val="autoZero"/>
        <c:auto val="1"/>
        <c:lblAlgn val="ctr"/>
        <c:lblOffset val="100"/>
        <c:noMultiLvlLbl val="0"/>
      </c:catAx>
      <c:valAx>
        <c:axId val="-1540460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4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Summery!$B$10</c:f>
              <c:strCache>
                <c:ptCount val="1"/>
                <c:pt idx="0">
                  <c:v>CO₂ Sequestered( kg CO₂/year)≈</c:v>
                </c:pt>
              </c:strCache>
            </c:strRef>
          </c:tx>
          <c:spPr>
            <a:solidFill>
              <a:schemeClr val="accent1"/>
            </a:solidFill>
            <a:ln>
              <a:noFill/>
            </a:ln>
            <a:effectLst/>
          </c:spPr>
          <c:invertIfNegative val="0"/>
          <c:val>
            <c:numRef>
              <c:f>Summery!$C$10:$S$10</c:f>
              <c:numCache>
                <c:formatCode>General</c:formatCode>
                <c:ptCount val="17"/>
                <c:pt idx="0">
                  <c:v>39.424035847098651</c:v>
                </c:pt>
                <c:pt idx="3">
                  <c:v>0</c:v>
                </c:pt>
                <c:pt idx="4">
                  <c:v>152.91562299197378</c:v>
                </c:pt>
                <c:pt idx="7">
                  <c:v>0</c:v>
                </c:pt>
                <c:pt idx="8">
                  <c:v>28.995153892413711</c:v>
                </c:pt>
                <c:pt idx="11">
                  <c:v>0</c:v>
                </c:pt>
                <c:pt idx="12">
                  <c:v>9.087026426877058</c:v>
                </c:pt>
                <c:pt idx="15">
                  <c:v>0</c:v>
                </c:pt>
                <c:pt idx="16">
                  <c:v>283.47165849798239</c:v>
                </c:pt>
              </c:numCache>
            </c:numRef>
          </c:val>
        </c:ser>
        <c:dLbls>
          <c:showLegendKey val="0"/>
          <c:showVal val="0"/>
          <c:showCatName val="0"/>
          <c:showSerName val="0"/>
          <c:showPercent val="0"/>
          <c:showBubbleSize val="0"/>
        </c:dLbls>
        <c:gapWidth val="219"/>
        <c:overlap val="-27"/>
        <c:axId val="-1540461920"/>
        <c:axId val="-1540462464"/>
      </c:barChart>
      <c:catAx>
        <c:axId val="-1540461920"/>
        <c:scaling>
          <c:orientation val="minMax"/>
        </c:scaling>
        <c:delete val="1"/>
        <c:axPos val="b"/>
        <c:numFmt formatCode="General" sourceLinked="1"/>
        <c:majorTickMark val="none"/>
        <c:minorTickMark val="none"/>
        <c:tickLblPos val="nextTo"/>
        <c:crossAx val="-1540462464"/>
        <c:crosses val="autoZero"/>
        <c:auto val="1"/>
        <c:lblAlgn val="ctr"/>
        <c:lblOffset val="100"/>
        <c:noMultiLvlLbl val="0"/>
      </c:catAx>
      <c:valAx>
        <c:axId val="-154046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61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Summery!$B$29</c:f>
              <c:strCache>
                <c:ptCount val="1"/>
                <c:pt idx="0">
                  <c:v>CO₂ Sequestered( kg CO₂/year)≈</c:v>
                </c:pt>
              </c:strCache>
            </c:strRef>
          </c:tx>
          <c:spPr>
            <a:solidFill>
              <a:schemeClr val="accent1"/>
            </a:solidFill>
            <a:ln>
              <a:noFill/>
            </a:ln>
            <a:effectLst/>
          </c:spPr>
          <c:invertIfNegative val="0"/>
          <c:val>
            <c:numRef>
              <c:f>Summery!$C$29:$S$29</c:f>
              <c:numCache>
                <c:formatCode>General</c:formatCode>
                <c:ptCount val="17"/>
                <c:pt idx="0">
                  <c:v>33.371486905448279</c:v>
                </c:pt>
                <c:pt idx="3">
                  <c:v>0</c:v>
                </c:pt>
                <c:pt idx="4">
                  <c:v>222.45788068701452</c:v>
                </c:pt>
                <c:pt idx="7">
                  <c:v>0</c:v>
                </c:pt>
                <c:pt idx="8">
                  <c:v>8.9642278480479565</c:v>
                </c:pt>
                <c:pt idx="11">
                  <c:v>0</c:v>
                </c:pt>
                <c:pt idx="12">
                  <c:v>20.689169072854749</c:v>
                </c:pt>
                <c:pt idx="15">
                  <c:v>0</c:v>
                </c:pt>
                <c:pt idx="16">
                  <c:v>15.849226118637729</c:v>
                </c:pt>
              </c:numCache>
            </c:numRef>
          </c:val>
        </c:ser>
        <c:dLbls>
          <c:showLegendKey val="0"/>
          <c:showVal val="0"/>
          <c:showCatName val="0"/>
          <c:showSerName val="0"/>
          <c:showPercent val="0"/>
          <c:showBubbleSize val="0"/>
        </c:dLbls>
        <c:gapWidth val="219"/>
        <c:overlap val="-27"/>
        <c:axId val="-1540461376"/>
        <c:axId val="-1540460832"/>
      </c:barChart>
      <c:catAx>
        <c:axId val="-1540461376"/>
        <c:scaling>
          <c:orientation val="minMax"/>
        </c:scaling>
        <c:delete val="1"/>
        <c:axPos val="b"/>
        <c:numFmt formatCode="General" sourceLinked="1"/>
        <c:majorTickMark val="none"/>
        <c:minorTickMark val="none"/>
        <c:tickLblPos val="nextTo"/>
        <c:crossAx val="-1540460832"/>
        <c:crosses val="autoZero"/>
        <c:auto val="1"/>
        <c:lblAlgn val="ctr"/>
        <c:lblOffset val="100"/>
        <c:noMultiLvlLbl val="0"/>
      </c:catAx>
      <c:valAx>
        <c:axId val="-154046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61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179728318114346E-2"/>
          <c:y val="0.17171296296296298"/>
          <c:w val="0.93917049808345698"/>
          <c:h val="0.6714577865266842"/>
        </c:manualLayout>
      </c:layout>
      <c:pie3DChart>
        <c:varyColors val="1"/>
        <c:ser>
          <c:idx val="0"/>
          <c:order val="0"/>
          <c:tx>
            <c:strRef>
              <c:f>'Es CO₂ seq &amp; To adj AGD'!$E$26</c:f>
              <c:strCache>
                <c:ptCount val="1"/>
                <c:pt idx="0">
                  <c:v>CO₂ Sequestered (tonnes/ha/year)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val>
            <c:numRef>
              <c:f>'Es CO₂ seq &amp; To adj AGD'!$E$27:$E$36</c:f>
              <c:numCache>
                <c:formatCode>General</c:formatCode>
                <c:ptCount val="10"/>
                <c:pt idx="0">
                  <c:v>3.9424035847098651</c:v>
                </c:pt>
                <c:pt idx="1">
                  <c:v>15.291562299197377</c:v>
                </c:pt>
                <c:pt idx="2">
                  <c:v>2.8995153892413712</c:v>
                </c:pt>
                <c:pt idx="3">
                  <c:v>0.90870264268770584</c:v>
                </c:pt>
                <c:pt idx="4">
                  <c:v>28.347165849798238</c:v>
                </c:pt>
                <c:pt idx="5">
                  <c:v>3.337148690544828</c:v>
                </c:pt>
                <c:pt idx="6">
                  <c:v>22.245788068701451</c:v>
                </c:pt>
                <c:pt idx="7">
                  <c:v>0.89642278480479565</c:v>
                </c:pt>
                <c:pt idx="8">
                  <c:v>2.0689169072854749</c:v>
                </c:pt>
                <c:pt idx="9">
                  <c:v>1.5849226118637729</c:v>
                </c:pt>
              </c:numCache>
            </c:numRef>
          </c:val>
        </c:ser>
        <c:dLbls>
          <c:showLegendKey val="0"/>
          <c:showVal val="0"/>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'Es CO₂ seq &amp; To adj AGD'!$F$26</c:f>
              <c:strCache>
                <c:ptCount val="1"/>
                <c:pt idx="0">
                  <c:v>Total Adjusted AGB (Kg/plot)</c:v>
                </c:pt>
              </c:strCache>
            </c:strRef>
          </c:tx>
          <c:spPr>
            <a:solidFill>
              <a:schemeClr val="accent1"/>
            </a:solidFill>
            <a:ln>
              <a:noFill/>
            </a:ln>
            <a:effectLst/>
          </c:spPr>
          <c:invertIfNegative val="0"/>
          <c:val>
            <c:numRef>
              <c:f>'Es CO₂ seq &amp; To adj AGD'!$F$27:$F$36</c:f>
              <c:numCache>
                <c:formatCode>General</c:formatCode>
                <c:ptCount val="10"/>
                <c:pt idx="0">
                  <c:v>17.373539506036774</c:v>
                </c:pt>
                <c:pt idx="1">
                  <c:v>67.387459453540345</c:v>
                </c:pt>
                <c:pt idx="2">
                  <c:v>12.777698701046056</c:v>
                </c:pt>
                <c:pt idx="3">
                  <c:v>4.0045066221034098</c:v>
                </c:pt>
                <c:pt idx="4">
                  <c:v>124.92140776396191</c:v>
                </c:pt>
                <c:pt idx="5">
                  <c:v>14.706278382446801</c:v>
                </c:pt>
                <c:pt idx="6">
                  <c:v>98.03361567381215</c:v>
                </c:pt>
                <c:pt idx="7">
                  <c:v>3.9503912603772058</c:v>
                </c:pt>
                <c:pt idx="8">
                  <c:v>9.1173845729132506</c:v>
                </c:pt>
                <c:pt idx="9">
                  <c:v>6.9844994353242233</c:v>
                </c:pt>
              </c:numCache>
            </c:numRef>
          </c:val>
        </c:ser>
        <c:dLbls>
          <c:showLegendKey val="0"/>
          <c:showVal val="0"/>
          <c:showCatName val="0"/>
          <c:showSerName val="0"/>
          <c:showPercent val="0"/>
          <c:showBubbleSize val="0"/>
        </c:dLbls>
        <c:gapWidth val="219"/>
        <c:overlap val="-27"/>
        <c:axId val="-1561615264"/>
        <c:axId val="-1401328144"/>
      </c:barChart>
      <c:catAx>
        <c:axId val="-156161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28144"/>
        <c:crosses val="autoZero"/>
        <c:auto val="1"/>
        <c:lblAlgn val="ctr"/>
        <c:lblOffset val="100"/>
        <c:noMultiLvlLbl val="0"/>
      </c:catAx>
      <c:valAx>
        <c:axId val="-140132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15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'Plot 1'!$P$3</c:f>
              <c:strCache>
                <c:ptCount val="1"/>
                <c:pt idx="0">
                  <c:v>Adjusted AGB(for condition)(kg)</c:v>
                </c:pt>
              </c:strCache>
            </c:strRef>
          </c:tx>
          <c:spPr>
            <a:ln w="28575">
              <a:solidFill>
                <a:schemeClr val="accent1">
                  <a:alpha val="20000"/>
                </a:schemeClr>
              </a:solidFill>
            </a:ln>
            <a:effectLst/>
          </c:spPr>
          <c:marker>
            <c:symbol val="circle"/>
            <c:size val="4"/>
            <c:spPr>
              <a:solidFill>
                <a:schemeClr val="accent1"/>
              </a:solidFill>
              <a:ln w="9525" cap="flat" cmpd="sng" algn="ctr">
                <a:solidFill>
                  <a:schemeClr val="accent1"/>
                </a:solidFill>
                <a:round/>
              </a:ln>
              <a:effectLst/>
            </c:spPr>
          </c:marker>
          <c:xVal>
            <c:numRef>
              <c:f>'Plot 1'!$B$4:$B$40</c:f>
              <c:numCache>
                <c:formatCode>General</c:formatCode>
                <c:ptCount val="37"/>
                <c:pt idx="0">
                  <c:v>1</c:v>
                </c:pt>
                <c:pt idx="1">
                  <c:v>2</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numCache>
            </c:numRef>
          </c:xVal>
          <c:yVal>
            <c:numRef>
              <c:f>'Plot 1'!$P$4:$P$40</c:f>
              <c:numCache>
                <c:formatCode>General</c:formatCode>
                <c:ptCount val="37"/>
                <c:pt idx="0">
                  <c:v>0.10408275185191544</c:v>
                </c:pt>
                <c:pt idx="1">
                  <c:v>6.1176882670259981E-2</c:v>
                </c:pt>
                <c:pt idx="2">
                  <c:v>0.1427848602355932</c:v>
                </c:pt>
                <c:pt idx="3">
                  <c:v>6.8222403942841181E-2</c:v>
                </c:pt>
                <c:pt idx="4">
                  <c:v>7.4416242093457138E-2</c:v>
                </c:pt>
                <c:pt idx="5">
                  <c:v>4.7960861083581469E-2</c:v>
                </c:pt>
                <c:pt idx="6">
                  <c:v>0.10289859550817332</c:v>
                </c:pt>
                <c:pt idx="7">
                  <c:v>0.10204156058474735</c:v>
                </c:pt>
                <c:pt idx="8">
                  <c:v>6.0904147645812479E-2</c:v>
                </c:pt>
                <c:pt idx="9">
                  <c:v>0.1793595978302279</c:v>
                </c:pt>
                <c:pt idx="10">
                  <c:v>0.1711801778752835</c:v>
                </c:pt>
                <c:pt idx="11">
                  <c:v>0.14659326320884411</c:v>
                </c:pt>
                <c:pt idx="12">
                  <c:v>0.16885197753537012</c:v>
                </c:pt>
                <c:pt idx="13">
                  <c:v>0.10811491927704252</c:v>
                </c:pt>
                <c:pt idx="14">
                  <c:v>6.6055980361925851E-2</c:v>
                </c:pt>
                <c:pt idx="15">
                  <c:v>0.5331985398165271</c:v>
                </c:pt>
                <c:pt idx="16">
                  <c:v>4.7547068219413346E-2</c:v>
                </c:pt>
                <c:pt idx="17">
                  <c:v>0.1296908052345708</c:v>
                </c:pt>
                <c:pt idx="18">
                  <c:v>0.11624632055660038</c:v>
                </c:pt>
                <c:pt idx="19">
                  <c:v>5.3914394162025849E-2</c:v>
                </c:pt>
                <c:pt idx="20">
                  <c:v>0.13094039694885193</c:v>
                </c:pt>
                <c:pt idx="21">
                  <c:v>5.6191639404929106E-2</c:v>
                </c:pt>
                <c:pt idx="22">
                  <c:v>0.11261254618981054</c:v>
                </c:pt>
                <c:pt idx="23">
                  <c:v>3.6927562699165112E-2</c:v>
                </c:pt>
                <c:pt idx="24">
                  <c:v>4.8191223791697477E-2</c:v>
                </c:pt>
                <c:pt idx="25">
                  <c:v>4.5032009816893058E-2</c:v>
                </c:pt>
                <c:pt idx="26">
                  <c:v>3.7498914382284122E-2</c:v>
                </c:pt>
                <c:pt idx="27">
                  <c:v>0.20725802439069432</c:v>
                </c:pt>
                <c:pt idx="28">
                  <c:v>0.10085117884765644</c:v>
                </c:pt>
                <c:pt idx="29">
                  <c:v>0.16037036253129186</c:v>
                </c:pt>
                <c:pt idx="30">
                  <c:v>0.24259041548547933</c:v>
                </c:pt>
                <c:pt idx="31">
                  <c:v>12.888935400450116</c:v>
                </c:pt>
                <c:pt idx="32">
                  <c:v>0.19790554577609998</c:v>
                </c:pt>
                <c:pt idx="33">
                  <c:v>0.12340380281757865</c:v>
                </c:pt>
                <c:pt idx="34">
                  <c:v>0.2237502538110987</c:v>
                </c:pt>
                <c:pt idx="35">
                  <c:v>0.12107204425501293</c:v>
                </c:pt>
                <c:pt idx="36">
                  <c:v>0.15476683474390773</c:v>
                </c:pt>
              </c:numCache>
            </c:numRef>
          </c:yVal>
          <c:smooth val="0"/>
        </c:ser>
        <c:dLbls>
          <c:showLegendKey val="0"/>
          <c:showVal val="0"/>
          <c:showCatName val="0"/>
          <c:showSerName val="0"/>
          <c:showPercent val="0"/>
          <c:showBubbleSize val="0"/>
        </c:dLbls>
        <c:axId val="-1401340112"/>
        <c:axId val="-1401340656"/>
      </c:scatterChart>
      <c:valAx>
        <c:axId val="-14013401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01340656"/>
        <c:crosses val="autoZero"/>
        <c:crossBetween val="midCat"/>
      </c:valAx>
      <c:valAx>
        <c:axId val="-14013406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01340112"/>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1'!$T$3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1'!$T$4:$T$40</c:f>
              <c:numCache>
                <c:formatCode>General</c:formatCode>
                <c:ptCount val="37"/>
                <c:pt idx="0">
                  <c:v>-0.58449445557682711</c:v>
                </c:pt>
                <c:pt idx="1">
                  <c:v>-0.58449445557682711</c:v>
                </c:pt>
                <c:pt idx="2">
                  <c:v>-0.58449445557682711</c:v>
                </c:pt>
                <c:pt idx="3">
                  <c:v>-0.58449445557682711</c:v>
                </c:pt>
                <c:pt idx="4">
                  <c:v>-0.58449445557682711</c:v>
                </c:pt>
                <c:pt idx="5">
                  <c:v>-0.58449445557682711</c:v>
                </c:pt>
                <c:pt idx="6">
                  <c:v>1.1456091329306042</c:v>
                </c:pt>
                <c:pt idx="7">
                  <c:v>1.1456091329306042</c:v>
                </c:pt>
                <c:pt idx="8">
                  <c:v>-0.58449445557682711</c:v>
                </c:pt>
                <c:pt idx="9">
                  <c:v>-0.58449445557682711</c:v>
                </c:pt>
                <c:pt idx="10">
                  <c:v>-0.58449445557682711</c:v>
                </c:pt>
                <c:pt idx="11">
                  <c:v>-0.58449445557682711</c:v>
                </c:pt>
                <c:pt idx="12">
                  <c:v>-0.58449445557682711</c:v>
                </c:pt>
                <c:pt idx="13">
                  <c:v>1.1456091329306042</c:v>
                </c:pt>
                <c:pt idx="14">
                  <c:v>1.1456091329306042</c:v>
                </c:pt>
                <c:pt idx="15">
                  <c:v>1.1456091329306042</c:v>
                </c:pt>
                <c:pt idx="16">
                  <c:v>1.1456091329306042</c:v>
                </c:pt>
                <c:pt idx="17">
                  <c:v>-0.58449445557682711</c:v>
                </c:pt>
                <c:pt idx="18">
                  <c:v>-0.58449445557682711</c:v>
                </c:pt>
                <c:pt idx="19">
                  <c:v>-0.58449445557682711</c:v>
                </c:pt>
                <c:pt idx="20">
                  <c:v>1.1456091329306042</c:v>
                </c:pt>
                <c:pt idx="21">
                  <c:v>1.1456091329306042</c:v>
                </c:pt>
                <c:pt idx="22">
                  <c:v>-0.58449445557682711</c:v>
                </c:pt>
                <c:pt idx="23">
                  <c:v>1.1456091329306042</c:v>
                </c:pt>
                <c:pt idx="24">
                  <c:v>-0.58449445557682711</c:v>
                </c:pt>
                <c:pt idx="25">
                  <c:v>1.1456091329306042</c:v>
                </c:pt>
                <c:pt idx="26">
                  <c:v>1.1456091329306042</c:v>
                </c:pt>
                <c:pt idx="27">
                  <c:v>-0.58449445557682711</c:v>
                </c:pt>
                <c:pt idx="28">
                  <c:v>-0.58449445557682711</c:v>
                </c:pt>
                <c:pt idx="29">
                  <c:v>-0.58449445557682711</c:v>
                </c:pt>
                <c:pt idx="30">
                  <c:v>1.1456091329306042</c:v>
                </c:pt>
                <c:pt idx="31">
                  <c:v>-0.58449445557682711</c:v>
                </c:pt>
                <c:pt idx="32">
                  <c:v>1.1456091329306042</c:v>
                </c:pt>
                <c:pt idx="33">
                  <c:v>-3.179649838337975</c:v>
                </c:pt>
                <c:pt idx="34">
                  <c:v>1.1456091329306042</c:v>
                </c:pt>
                <c:pt idx="35">
                  <c:v>-0.58449445557682711</c:v>
                </c:pt>
                <c:pt idx="36">
                  <c:v>-0.58449445557682711</c:v>
                </c:pt>
              </c:numCache>
            </c:numRef>
          </c:yVal>
          <c:smooth val="0"/>
        </c:ser>
        <c:dLbls>
          <c:showLegendKey val="0"/>
          <c:showVal val="0"/>
          <c:showCatName val="0"/>
          <c:showSerName val="0"/>
          <c:showPercent val="0"/>
          <c:showBubbleSize val="0"/>
        </c:dLbls>
        <c:axId val="-1401330320"/>
        <c:axId val="-1401339568"/>
      </c:scatterChart>
      <c:valAx>
        <c:axId val="-140133032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39568"/>
        <c:crosses val="autoZero"/>
        <c:crossBetween val="midCat"/>
      </c:valAx>
      <c:valAx>
        <c:axId val="-140133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303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'Plot 2'!$P$3</c:f>
              <c:strCache>
                <c:ptCount val="1"/>
                <c:pt idx="0">
                  <c:v>Adjusted AGB(for condition)(kg)</c:v>
                </c:pt>
              </c:strCache>
            </c:strRef>
          </c:tx>
          <c:spPr>
            <a:ln w="22225" cap="rnd">
              <a:solidFill>
                <a:schemeClr val="accent1"/>
              </a:solidFill>
              <a:round/>
            </a:ln>
            <a:effectLst/>
          </c:spPr>
          <c:marker>
            <c:symbol val="none"/>
          </c:marker>
          <c:cat>
            <c:numRef>
              <c:f>'Plot 2'!$B$4:$B$24</c:f>
              <c:numCache>
                <c:formatCode>General</c:formatCode>
                <c:ptCount val="21"/>
                <c:pt idx="0">
                  <c:v>38</c:v>
                </c:pt>
                <c:pt idx="1">
                  <c:v>39</c:v>
                </c:pt>
                <c:pt idx="2">
                  <c:v>40</c:v>
                </c:pt>
                <c:pt idx="3">
                  <c:v>41</c:v>
                </c:pt>
                <c:pt idx="4">
                  <c:v>42</c:v>
                </c:pt>
                <c:pt idx="5">
                  <c:v>43</c:v>
                </c:pt>
                <c:pt idx="6">
                  <c:v>44</c:v>
                </c:pt>
                <c:pt idx="7">
                  <c:v>45</c:v>
                </c:pt>
                <c:pt idx="8">
                  <c:v>46</c:v>
                </c:pt>
                <c:pt idx="9">
                  <c:v>47</c:v>
                </c:pt>
                <c:pt idx="10">
                  <c:v>48</c:v>
                </c:pt>
                <c:pt idx="11">
                  <c:v>49</c:v>
                </c:pt>
                <c:pt idx="12">
                  <c:v>50</c:v>
                </c:pt>
                <c:pt idx="13">
                  <c:v>51</c:v>
                </c:pt>
                <c:pt idx="14">
                  <c:v>52</c:v>
                </c:pt>
                <c:pt idx="15">
                  <c:v>53</c:v>
                </c:pt>
                <c:pt idx="16">
                  <c:v>54</c:v>
                </c:pt>
                <c:pt idx="17">
                  <c:v>55</c:v>
                </c:pt>
                <c:pt idx="18">
                  <c:v>56</c:v>
                </c:pt>
                <c:pt idx="19">
                  <c:v>57</c:v>
                </c:pt>
                <c:pt idx="20">
                  <c:v>58</c:v>
                </c:pt>
              </c:numCache>
            </c:numRef>
          </c:cat>
          <c:val>
            <c:numRef>
              <c:f>'Plot 2'!$P$4:$P$24</c:f>
              <c:numCache>
                <c:formatCode>General</c:formatCode>
                <c:ptCount val="21"/>
                <c:pt idx="0">
                  <c:v>0.9685689257150264</c:v>
                </c:pt>
                <c:pt idx="1">
                  <c:v>1.0508099592233149</c:v>
                </c:pt>
                <c:pt idx="2">
                  <c:v>1.0641975050375794</c:v>
                </c:pt>
                <c:pt idx="3">
                  <c:v>0.31698540608405523</c:v>
                </c:pt>
                <c:pt idx="4">
                  <c:v>0.15106305199605169</c:v>
                </c:pt>
                <c:pt idx="5">
                  <c:v>0.167012315121985</c:v>
                </c:pt>
                <c:pt idx="6">
                  <c:v>0.20227842688282432</c:v>
                </c:pt>
                <c:pt idx="7">
                  <c:v>56.291342656442289</c:v>
                </c:pt>
                <c:pt idx="8">
                  <c:v>0.53143345956618271</c:v>
                </c:pt>
                <c:pt idx="9">
                  <c:v>0.314167112886658</c:v>
                </c:pt>
                <c:pt idx="10">
                  <c:v>0.21051285449481635</c:v>
                </c:pt>
                <c:pt idx="11">
                  <c:v>0.65516781681875347</c:v>
                </c:pt>
                <c:pt idx="12">
                  <c:v>0.94999449863615359</c:v>
                </c:pt>
                <c:pt idx="13">
                  <c:v>0.4363801183473851</c:v>
                </c:pt>
                <c:pt idx="14">
                  <c:v>0.78498734070073728</c:v>
                </c:pt>
                <c:pt idx="15">
                  <c:v>0.43137190692775446</c:v>
                </c:pt>
                <c:pt idx="16">
                  <c:v>0.1218728240656894</c:v>
                </c:pt>
                <c:pt idx="17">
                  <c:v>0.79784271143459773</c:v>
                </c:pt>
                <c:pt idx="18">
                  <c:v>0.39499973327296117</c:v>
                </c:pt>
                <c:pt idx="19">
                  <c:v>0.68790976474187526</c:v>
                </c:pt>
                <c:pt idx="20">
                  <c:v>0.85856106514365826</c:v>
                </c:pt>
              </c:numCache>
            </c:numRef>
          </c:val>
          <c:smooth val="0"/>
        </c:ser>
        <c:dLbls>
          <c:showLegendKey val="0"/>
          <c:showVal val="0"/>
          <c:showCatName val="0"/>
          <c:showSerName val="0"/>
          <c:showPercent val="0"/>
          <c:showBubbleSize val="0"/>
        </c:dLbls>
        <c:smooth val="0"/>
        <c:axId val="-1401334128"/>
        <c:axId val="-1401339024"/>
      </c:lineChart>
      <c:catAx>
        <c:axId val="-140133412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01339024"/>
        <c:crosses val="autoZero"/>
        <c:auto val="1"/>
        <c:lblAlgn val="ctr"/>
        <c:lblOffset val="100"/>
        <c:noMultiLvlLbl val="0"/>
      </c:catAx>
      <c:valAx>
        <c:axId val="-140133902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0133412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2'!$T$3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2'!$T$4:$T$24</c:f>
              <c:numCache>
                <c:formatCode>General</c:formatCode>
                <c:ptCount val="21"/>
                <c:pt idx="0">
                  <c:v>0.56659269967006998</c:v>
                </c:pt>
                <c:pt idx="1">
                  <c:v>0.56659269967006998</c:v>
                </c:pt>
                <c:pt idx="2">
                  <c:v>0.56659269967006998</c:v>
                </c:pt>
                <c:pt idx="3">
                  <c:v>0.56659269967006998</c:v>
                </c:pt>
                <c:pt idx="4">
                  <c:v>-0.22663707986802814</c:v>
                </c:pt>
                <c:pt idx="5">
                  <c:v>-0.22663707986802814</c:v>
                </c:pt>
                <c:pt idx="6">
                  <c:v>-0.22663707986802814</c:v>
                </c:pt>
                <c:pt idx="7">
                  <c:v>0.56659269967006998</c:v>
                </c:pt>
                <c:pt idx="8">
                  <c:v>0.56659269967006998</c:v>
                </c:pt>
                <c:pt idx="9">
                  <c:v>0.56659269967006998</c:v>
                </c:pt>
                <c:pt idx="10">
                  <c:v>-0.22663707986802814</c:v>
                </c:pt>
                <c:pt idx="11">
                  <c:v>-0.22663707986802814</c:v>
                </c:pt>
                <c:pt idx="12">
                  <c:v>0.56659269967006998</c:v>
                </c:pt>
                <c:pt idx="13">
                  <c:v>0.56659269967006998</c:v>
                </c:pt>
                <c:pt idx="14">
                  <c:v>-1.4164817491751758</c:v>
                </c:pt>
                <c:pt idx="15">
                  <c:v>-1.4164817491751758</c:v>
                </c:pt>
                <c:pt idx="16">
                  <c:v>-3.3995561980204214</c:v>
                </c:pt>
                <c:pt idx="17">
                  <c:v>0.56659269967006998</c:v>
                </c:pt>
                <c:pt idx="18">
                  <c:v>0.56659269967006998</c:v>
                </c:pt>
                <c:pt idx="19">
                  <c:v>0.56659269967006998</c:v>
                </c:pt>
                <c:pt idx="20">
                  <c:v>0.56659269967006998</c:v>
                </c:pt>
              </c:numCache>
            </c:numRef>
          </c:yVal>
          <c:smooth val="0"/>
        </c:ser>
        <c:dLbls>
          <c:showLegendKey val="0"/>
          <c:showVal val="0"/>
          <c:showCatName val="0"/>
          <c:showSerName val="0"/>
          <c:showPercent val="0"/>
          <c:showBubbleSize val="0"/>
        </c:dLbls>
        <c:axId val="-1401328688"/>
        <c:axId val="-1401335216"/>
      </c:scatterChart>
      <c:valAx>
        <c:axId val="-140132868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35216"/>
        <c:crosses val="autoZero"/>
        <c:crossBetween val="midCat"/>
      </c:valAx>
      <c:valAx>
        <c:axId val="-140133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286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'Plot 3'!$P$3</c:f>
              <c:strCache>
                <c:ptCount val="1"/>
                <c:pt idx="0">
                  <c:v>Adjusted AGB(for condition)(kg)</c:v>
                </c:pt>
              </c:strCache>
            </c:strRef>
          </c:tx>
          <c:spPr>
            <a:ln w="22225" cap="rnd">
              <a:solidFill>
                <a:schemeClr val="accent1"/>
              </a:solidFill>
              <a:round/>
            </a:ln>
            <a:effectLst/>
          </c:spPr>
          <c:marker>
            <c:symbol val="none"/>
          </c:marker>
          <c:cat>
            <c:numRef>
              <c:f>'Plot 3'!$B$4:$B$65</c:f>
              <c:numCache>
                <c:formatCode>General</c:formatCode>
                <c:ptCount val="62"/>
                <c:pt idx="0">
                  <c:v>59</c:v>
                </c:pt>
                <c:pt idx="1">
                  <c:v>60</c:v>
                </c:pt>
                <c:pt idx="2">
                  <c:v>61</c:v>
                </c:pt>
                <c:pt idx="3">
                  <c:v>62</c:v>
                </c:pt>
                <c:pt idx="4">
                  <c:v>63</c:v>
                </c:pt>
                <c:pt idx="5">
                  <c:v>64</c:v>
                </c:pt>
                <c:pt idx="6">
                  <c:v>65</c:v>
                </c:pt>
                <c:pt idx="7">
                  <c:v>66</c:v>
                </c:pt>
                <c:pt idx="8">
                  <c:v>67</c:v>
                </c:pt>
                <c:pt idx="9">
                  <c:v>68</c:v>
                </c:pt>
                <c:pt idx="10">
                  <c:v>69</c:v>
                </c:pt>
                <c:pt idx="11">
                  <c:v>70</c:v>
                </c:pt>
                <c:pt idx="12">
                  <c:v>71</c:v>
                </c:pt>
                <c:pt idx="13">
                  <c:v>72</c:v>
                </c:pt>
                <c:pt idx="14">
                  <c:v>73</c:v>
                </c:pt>
                <c:pt idx="15">
                  <c:v>74</c:v>
                </c:pt>
                <c:pt idx="16">
                  <c:v>75</c:v>
                </c:pt>
                <c:pt idx="17">
                  <c:v>76</c:v>
                </c:pt>
                <c:pt idx="18">
                  <c:v>77</c:v>
                </c:pt>
                <c:pt idx="19">
                  <c:v>78</c:v>
                </c:pt>
                <c:pt idx="20">
                  <c:v>79</c:v>
                </c:pt>
                <c:pt idx="21">
                  <c:v>80</c:v>
                </c:pt>
                <c:pt idx="22">
                  <c:v>81</c:v>
                </c:pt>
                <c:pt idx="23">
                  <c:v>82</c:v>
                </c:pt>
                <c:pt idx="24">
                  <c:v>83</c:v>
                </c:pt>
                <c:pt idx="25">
                  <c:v>84</c:v>
                </c:pt>
                <c:pt idx="26">
                  <c:v>85</c:v>
                </c:pt>
                <c:pt idx="27">
                  <c:v>86</c:v>
                </c:pt>
                <c:pt idx="28">
                  <c:v>87</c:v>
                </c:pt>
                <c:pt idx="29">
                  <c:v>88</c:v>
                </c:pt>
                <c:pt idx="30">
                  <c:v>89</c:v>
                </c:pt>
                <c:pt idx="31">
                  <c:v>90</c:v>
                </c:pt>
                <c:pt idx="32">
                  <c:v>91</c:v>
                </c:pt>
                <c:pt idx="33">
                  <c:v>92</c:v>
                </c:pt>
                <c:pt idx="34">
                  <c:v>93</c:v>
                </c:pt>
                <c:pt idx="35">
                  <c:v>94</c:v>
                </c:pt>
                <c:pt idx="36">
                  <c:v>95</c:v>
                </c:pt>
                <c:pt idx="37">
                  <c:v>96</c:v>
                </c:pt>
                <c:pt idx="38">
                  <c:v>97</c:v>
                </c:pt>
                <c:pt idx="39">
                  <c:v>98</c:v>
                </c:pt>
                <c:pt idx="40">
                  <c:v>99</c:v>
                </c:pt>
                <c:pt idx="41">
                  <c:v>100</c:v>
                </c:pt>
                <c:pt idx="42">
                  <c:v>101</c:v>
                </c:pt>
                <c:pt idx="43">
                  <c:v>102</c:v>
                </c:pt>
                <c:pt idx="44">
                  <c:v>103</c:v>
                </c:pt>
                <c:pt idx="45">
                  <c:v>104</c:v>
                </c:pt>
                <c:pt idx="46">
                  <c:v>105</c:v>
                </c:pt>
                <c:pt idx="47">
                  <c:v>106</c:v>
                </c:pt>
                <c:pt idx="48">
                  <c:v>107</c:v>
                </c:pt>
                <c:pt idx="49">
                  <c:v>108</c:v>
                </c:pt>
                <c:pt idx="50">
                  <c:v>109</c:v>
                </c:pt>
                <c:pt idx="51">
                  <c:v>110</c:v>
                </c:pt>
                <c:pt idx="52">
                  <c:v>111</c:v>
                </c:pt>
                <c:pt idx="53">
                  <c:v>112</c:v>
                </c:pt>
                <c:pt idx="54">
                  <c:v>113</c:v>
                </c:pt>
                <c:pt idx="55">
                  <c:v>114</c:v>
                </c:pt>
                <c:pt idx="56">
                  <c:v>115</c:v>
                </c:pt>
                <c:pt idx="57">
                  <c:v>116</c:v>
                </c:pt>
                <c:pt idx="58">
                  <c:v>117</c:v>
                </c:pt>
                <c:pt idx="59">
                  <c:v>118</c:v>
                </c:pt>
                <c:pt idx="60">
                  <c:v>119</c:v>
                </c:pt>
                <c:pt idx="61">
                  <c:v>120</c:v>
                </c:pt>
              </c:numCache>
            </c:numRef>
          </c:cat>
          <c:val>
            <c:numRef>
              <c:f>'Plot 3'!$P$4:$P$65</c:f>
              <c:numCache>
                <c:formatCode>General</c:formatCode>
                <c:ptCount val="62"/>
                <c:pt idx="0">
                  <c:v>0.79587827092104702</c:v>
                </c:pt>
                <c:pt idx="1">
                  <c:v>0.4274916067165721</c:v>
                </c:pt>
                <c:pt idx="2">
                  <c:v>0.10150672926735599</c:v>
                </c:pt>
                <c:pt idx="3">
                  <c:v>0.71496376277907392</c:v>
                </c:pt>
                <c:pt idx="4">
                  <c:v>0.32415432840250152</c:v>
                </c:pt>
                <c:pt idx="5">
                  <c:v>5.6310407741911574E-2</c:v>
                </c:pt>
                <c:pt idx="6">
                  <c:v>0.10514908286878619</c:v>
                </c:pt>
                <c:pt idx="7">
                  <c:v>0.10910580425539469</c:v>
                </c:pt>
                <c:pt idx="8">
                  <c:v>0.54665252195382585</c:v>
                </c:pt>
                <c:pt idx="9">
                  <c:v>0.3788297010681988</c:v>
                </c:pt>
                <c:pt idx="10">
                  <c:v>0.17554435201887192</c:v>
                </c:pt>
                <c:pt idx="11">
                  <c:v>0.13284299383201512</c:v>
                </c:pt>
                <c:pt idx="12">
                  <c:v>0.11401623981156682</c:v>
                </c:pt>
                <c:pt idx="13">
                  <c:v>0.17383404387200219</c:v>
                </c:pt>
                <c:pt idx="14">
                  <c:v>0.11779363432318952</c:v>
                </c:pt>
                <c:pt idx="15">
                  <c:v>0.11401879123972426</c:v>
                </c:pt>
                <c:pt idx="16">
                  <c:v>0.39654612940548545</c:v>
                </c:pt>
                <c:pt idx="17">
                  <c:v>0.14001774797682703</c:v>
                </c:pt>
                <c:pt idx="18">
                  <c:v>0.16958814806127678</c:v>
                </c:pt>
                <c:pt idx="19">
                  <c:v>0.29938459673763351</c:v>
                </c:pt>
                <c:pt idx="20">
                  <c:v>0.13212693845506893</c:v>
                </c:pt>
                <c:pt idx="21">
                  <c:v>7.0013970801290931E-2</c:v>
                </c:pt>
                <c:pt idx="22">
                  <c:v>0.13749921073091512</c:v>
                </c:pt>
                <c:pt idx="23">
                  <c:v>0.26833840485230787</c:v>
                </c:pt>
                <c:pt idx="24">
                  <c:v>7.1646822331420529E-2</c:v>
                </c:pt>
                <c:pt idx="25">
                  <c:v>0.10961316300336466</c:v>
                </c:pt>
                <c:pt idx="26">
                  <c:v>7.5603821398227175E-2</c:v>
                </c:pt>
                <c:pt idx="27">
                  <c:v>7.8585558230801045E-2</c:v>
                </c:pt>
                <c:pt idx="28">
                  <c:v>0.12567047210099938</c:v>
                </c:pt>
                <c:pt idx="29">
                  <c:v>0.13289881672653067</c:v>
                </c:pt>
                <c:pt idx="30">
                  <c:v>0.11551152640320034</c:v>
                </c:pt>
                <c:pt idx="31">
                  <c:v>0.1131416025171738</c:v>
                </c:pt>
                <c:pt idx="32">
                  <c:v>0.10652972260636456</c:v>
                </c:pt>
                <c:pt idx="33">
                  <c:v>0.16234799437276465</c:v>
                </c:pt>
                <c:pt idx="34">
                  <c:v>0.25890050498223777</c:v>
                </c:pt>
                <c:pt idx="35">
                  <c:v>0.46947586212297848</c:v>
                </c:pt>
                <c:pt idx="36">
                  <c:v>0.17281297543870047</c:v>
                </c:pt>
                <c:pt idx="37">
                  <c:v>0.18175366641999136</c:v>
                </c:pt>
                <c:pt idx="38">
                  <c:v>7.0148092538663845E-2</c:v>
                </c:pt>
                <c:pt idx="39">
                  <c:v>8.9159414085656211E-2</c:v>
                </c:pt>
                <c:pt idx="40">
                  <c:v>8.2782057517388485E-2</c:v>
                </c:pt>
                <c:pt idx="41">
                  <c:v>0.1218323645261734</c:v>
                </c:pt>
                <c:pt idx="42">
                  <c:v>0.18470725138598948</c:v>
                </c:pt>
                <c:pt idx="43">
                  <c:v>0.14694228414078264</c:v>
                </c:pt>
                <c:pt idx="44">
                  <c:v>0.19783889062664237</c:v>
                </c:pt>
                <c:pt idx="45">
                  <c:v>0.1426693894939782</c:v>
                </c:pt>
                <c:pt idx="46">
                  <c:v>0.21367758551545343</c:v>
                </c:pt>
                <c:pt idx="47">
                  <c:v>5.7203114003000086E-2</c:v>
                </c:pt>
                <c:pt idx="48">
                  <c:v>0.12686180688084814</c:v>
                </c:pt>
                <c:pt idx="49">
                  <c:v>0.13536646789717793</c:v>
                </c:pt>
                <c:pt idx="50">
                  <c:v>0.17567947938244485</c:v>
                </c:pt>
                <c:pt idx="51">
                  <c:v>0.13455648750470225</c:v>
                </c:pt>
                <c:pt idx="52">
                  <c:v>9.7511719847525727E-2</c:v>
                </c:pt>
                <c:pt idx="53">
                  <c:v>0.16401167980167836</c:v>
                </c:pt>
                <c:pt idx="54">
                  <c:v>0.45196063138799225</c:v>
                </c:pt>
                <c:pt idx="55">
                  <c:v>0.52469934512720007</c:v>
                </c:pt>
                <c:pt idx="56">
                  <c:v>0.30857980348643671</c:v>
                </c:pt>
                <c:pt idx="57">
                  <c:v>0.18911329288110151</c:v>
                </c:pt>
                <c:pt idx="58">
                  <c:v>0.1906615455336429</c:v>
                </c:pt>
                <c:pt idx="59">
                  <c:v>0.15060008781611678</c:v>
                </c:pt>
                <c:pt idx="60">
                  <c:v>0.34847371773155267</c:v>
                </c:pt>
                <c:pt idx="61">
                  <c:v>0.29656226518630791</c:v>
                </c:pt>
              </c:numCache>
            </c:numRef>
          </c:val>
          <c:smooth val="0"/>
        </c:ser>
        <c:dLbls>
          <c:showLegendKey val="0"/>
          <c:showVal val="0"/>
          <c:showCatName val="0"/>
          <c:showSerName val="0"/>
          <c:showPercent val="0"/>
          <c:showBubbleSize val="0"/>
        </c:dLbls>
        <c:smooth val="0"/>
        <c:axId val="-1401337936"/>
        <c:axId val="-1401333584"/>
      </c:lineChart>
      <c:catAx>
        <c:axId val="-140133793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01333584"/>
        <c:crosses val="autoZero"/>
        <c:auto val="1"/>
        <c:lblAlgn val="ctr"/>
        <c:lblOffset val="100"/>
        <c:noMultiLvlLbl val="0"/>
      </c:catAx>
      <c:valAx>
        <c:axId val="-1401333584"/>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0133793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3'!$T$3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3'!$T$4:$T$65</c:f>
              <c:numCache>
                <c:formatCode>General</c:formatCode>
                <c:ptCount val="62"/>
                <c:pt idx="0">
                  <c:v>1.8617938885544576</c:v>
                </c:pt>
                <c:pt idx="1">
                  <c:v>-0.71479586792715599</c:v>
                </c:pt>
                <c:pt idx="2">
                  <c:v>-0.71479586792715599</c:v>
                </c:pt>
                <c:pt idx="3">
                  <c:v>1.8617938885544576</c:v>
                </c:pt>
                <c:pt idx="4">
                  <c:v>1.8617938885544576</c:v>
                </c:pt>
                <c:pt idx="5">
                  <c:v>0.5734990103136508</c:v>
                </c:pt>
                <c:pt idx="6">
                  <c:v>1.346475937258135</c:v>
                </c:pt>
                <c:pt idx="7">
                  <c:v>1.346475937258135</c:v>
                </c:pt>
                <c:pt idx="8">
                  <c:v>1.346475937258135</c:v>
                </c:pt>
                <c:pt idx="9">
                  <c:v>1.346475937258135</c:v>
                </c:pt>
                <c:pt idx="10">
                  <c:v>0.5734990103136508</c:v>
                </c:pt>
                <c:pt idx="11">
                  <c:v>1.8617938885544576</c:v>
                </c:pt>
                <c:pt idx="12">
                  <c:v>-0.71479586792715599</c:v>
                </c:pt>
                <c:pt idx="13">
                  <c:v>-0.71479586792715599</c:v>
                </c:pt>
                <c:pt idx="14">
                  <c:v>-0.71479586792715599</c:v>
                </c:pt>
                <c:pt idx="15">
                  <c:v>-0.71479586792715599</c:v>
                </c:pt>
                <c:pt idx="16">
                  <c:v>-0.71479586792715599</c:v>
                </c:pt>
                <c:pt idx="17">
                  <c:v>-0.71479586792715599</c:v>
                </c:pt>
                <c:pt idx="18">
                  <c:v>-0.71479586792715599</c:v>
                </c:pt>
                <c:pt idx="19">
                  <c:v>-0.71479586792715599</c:v>
                </c:pt>
                <c:pt idx="20">
                  <c:v>-0.71479586792715599</c:v>
                </c:pt>
                <c:pt idx="21">
                  <c:v>-0.71479586792715599</c:v>
                </c:pt>
                <c:pt idx="22">
                  <c:v>-0.71479586792715599</c:v>
                </c:pt>
                <c:pt idx="23">
                  <c:v>-0.71479586792715599</c:v>
                </c:pt>
                <c:pt idx="24">
                  <c:v>-0.71479586792715599</c:v>
                </c:pt>
                <c:pt idx="25">
                  <c:v>-0.71479586792715599</c:v>
                </c:pt>
                <c:pt idx="26">
                  <c:v>-0.71479586792715599</c:v>
                </c:pt>
                <c:pt idx="27">
                  <c:v>-0.71479586792715599</c:v>
                </c:pt>
                <c:pt idx="28">
                  <c:v>-0.71479586792715599</c:v>
                </c:pt>
                <c:pt idx="29">
                  <c:v>-0.71479586792715599</c:v>
                </c:pt>
                <c:pt idx="30">
                  <c:v>-0.71479586792715599</c:v>
                </c:pt>
                <c:pt idx="31">
                  <c:v>-0.71479586792715599</c:v>
                </c:pt>
                <c:pt idx="32">
                  <c:v>-0.71479586792715599</c:v>
                </c:pt>
                <c:pt idx="33">
                  <c:v>-0.71479586792715599</c:v>
                </c:pt>
                <c:pt idx="34">
                  <c:v>1.346475937258135</c:v>
                </c:pt>
                <c:pt idx="35">
                  <c:v>1.346475937258135</c:v>
                </c:pt>
                <c:pt idx="36">
                  <c:v>-0.71479586792715599</c:v>
                </c:pt>
                <c:pt idx="37">
                  <c:v>-0.71479586792715599</c:v>
                </c:pt>
                <c:pt idx="38">
                  <c:v>-0.71479586792715599</c:v>
                </c:pt>
                <c:pt idx="39">
                  <c:v>-0.71479586792715599</c:v>
                </c:pt>
                <c:pt idx="40">
                  <c:v>-0.71479586792715599</c:v>
                </c:pt>
                <c:pt idx="41">
                  <c:v>-0.71479586792715599</c:v>
                </c:pt>
                <c:pt idx="42">
                  <c:v>-0.71479586792715599</c:v>
                </c:pt>
                <c:pt idx="43">
                  <c:v>-0.71479586792715599</c:v>
                </c:pt>
                <c:pt idx="44">
                  <c:v>0.5734990103136508</c:v>
                </c:pt>
                <c:pt idx="45">
                  <c:v>-0.71479586792715599</c:v>
                </c:pt>
                <c:pt idx="46">
                  <c:v>-0.71479586792715599</c:v>
                </c:pt>
                <c:pt idx="47">
                  <c:v>-0.71479586792715599</c:v>
                </c:pt>
                <c:pt idx="48">
                  <c:v>-0.71479586792715599</c:v>
                </c:pt>
                <c:pt idx="49">
                  <c:v>-0.71479586792715599</c:v>
                </c:pt>
                <c:pt idx="50">
                  <c:v>-0.71479586792715599</c:v>
                </c:pt>
                <c:pt idx="51">
                  <c:v>-0.71479586792715599</c:v>
                </c:pt>
                <c:pt idx="52">
                  <c:v>-0.71479586792715599</c:v>
                </c:pt>
                <c:pt idx="53">
                  <c:v>0.5734990103136508</c:v>
                </c:pt>
                <c:pt idx="54">
                  <c:v>1.346475937258135</c:v>
                </c:pt>
                <c:pt idx="55">
                  <c:v>1.346475937258135</c:v>
                </c:pt>
                <c:pt idx="56">
                  <c:v>1.346475937258135</c:v>
                </c:pt>
                <c:pt idx="57">
                  <c:v>1.346475937258135</c:v>
                </c:pt>
                <c:pt idx="58">
                  <c:v>1.346475937258135</c:v>
                </c:pt>
                <c:pt idx="59">
                  <c:v>1.346475937258135</c:v>
                </c:pt>
                <c:pt idx="60">
                  <c:v>1.346475937258135</c:v>
                </c:pt>
                <c:pt idx="61">
                  <c:v>1.346475937258135</c:v>
                </c:pt>
              </c:numCache>
            </c:numRef>
          </c:yVal>
          <c:smooth val="0"/>
        </c:ser>
        <c:dLbls>
          <c:showLegendKey val="0"/>
          <c:showVal val="0"/>
          <c:showCatName val="0"/>
          <c:showSerName val="0"/>
          <c:showPercent val="0"/>
          <c:showBubbleSize val="0"/>
        </c:dLbls>
        <c:axId val="-1401331408"/>
        <c:axId val="-1401336848"/>
      </c:scatterChart>
      <c:valAx>
        <c:axId val="-140133140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36848"/>
        <c:crosses val="autoZero"/>
        <c:crossBetween val="midCat"/>
      </c:valAx>
      <c:valAx>
        <c:axId val="-140133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31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'Plot 4'!$P$3</c:f>
              <c:strCache>
                <c:ptCount val="1"/>
                <c:pt idx="0">
                  <c:v>Adjusted AGB(for condition)(kg)</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'Plot 4'!$B$4:$B$21</c:f>
              <c:numCache>
                <c:formatCode>General</c:formatCode>
                <c:ptCount val="18"/>
                <c:pt idx="0">
                  <c:v>121</c:v>
                </c:pt>
                <c:pt idx="1">
                  <c:v>122</c:v>
                </c:pt>
                <c:pt idx="2">
                  <c:v>123</c:v>
                </c:pt>
                <c:pt idx="3">
                  <c:v>124</c:v>
                </c:pt>
                <c:pt idx="4">
                  <c:v>125</c:v>
                </c:pt>
                <c:pt idx="5">
                  <c:v>126</c:v>
                </c:pt>
                <c:pt idx="6">
                  <c:v>127</c:v>
                </c:pt>
                <c:pt idx="7">
                  <c:v>128</c:v>
                </c:pt>
                <c:pt idx="8">
                  <c:v>129</c:v>
                </c:pt>
                <c:pt idx="9">
                  <c:v>134</c:v>
                </c:pt>
                <c:pt idx="10">
                  <c:v>135</c:v>
                </c:pt>
                <c:pt idx="11">
                  <c:v>136</c:v>
                </c:pt>
                <c:pt idx="12">
                  <c:v>137</c:v>
                </c:pt>
                <c:pt idx="13">
                  <c:v>130</c:v>
                </c:pt>
                <c:pt idx="14">
                  <c:v>131</c:v>
                </c:pt>
                <c:pt idx="15">
                  <c:v>133</c:v>
                </c:pt>
                <c:pt idx="16">
                  <c:v>132</c:v>
                </c:pt>
                <c:pt idx="17">
                  <c:v>138</c:v>
                </c:pt>
              </c:numCache>
            </c:numRef>
          </c:xVal>
          <c:yVal>
            <c:numRef>
              <c:f>'Plot 4'!$P$4:$P$21</c:f>
              <c:numCache>
                <c:formatCode>General</c:formatCode>
                <c:ptCount val="18"/>
                <c:pt idx="0">
                  <c:v>0.13977335700065838</c:v>
                </c:pt>
                <c:pt idx="1">
                  <c:v>0.10798557666747756</c:v>
                </c:pt>
                <c:pt idx="2">
                  <c:v>0.11692350405224894</c:v>
                </c:pt>
                <c:pt idx="3">
                  <c:v>0.1088533818563599</c:v>
                </c:pt>
                <c:pt idx="4">
                  <c:v>0.15430489948698817</c:v>
                </c:pt>
                <c:pt idx="5">
                  <c:v>0.18080785828181856</c:v>
                </c:pt>
                <c:pt idx="6">
                  <c:v>0.18511953777875112</c:v>
                </c:pt>
                <c:pt idx="7">
                  <c:v>0.10443360533919117</c:v>
                </c:pt>
                <c:pt idx="8">
                  <c:v>0.29547849126438019</c:v>
                </c:pt>
                <c:pt idx="9">
                  <c:v>0.10703860120135224</c:v>
                </c:pt>
                <c:pt idx="10">
                  <c:v>1.4134057703690073</c:v>
                </c:pt>
                <c:pt idx="11">
                  <c:v>0.1880729735188594</c:v>
                </c:pt>
                <c:pt idx="12">
                  <c:v>0.15392535779495486</c:v>
                </c:pt>
                <c:pt idx="13">
                  <c:v>0.16532805070667739</c:v>
                </c:pt>
                <c:pt idx="14">
                  <c:v>0.15980815007925792</c:v>
                </c:pt>
                <c:pt idx="15">
                  <c:v>0.10291988218120234</c:v>
                </c:pt>
                <c:pt idx="16">
                  <c:v>0.23717793423751424</c:v>
                </c:pt>
                <c:pt idx="17">
                  <c:v>8.3149690286710584E-2</c:v>
                </c:pt>
              </c:numCache>
            </c:numRef>
          </c:yVal>
          <c:smooth val="0"/>
        </c:ser>
        <c:dLbls>
          <c:showLegendKey val="0"/>
          <c:showVal val="0"/>
          <c:showCatName val="0"/>
          <c:showSerName val="0"/>
          <c:showPercent val="0"/>
          <c:showBubbleSize val="0"/>
        </c:dLbls>
        <c:axId val="-1401335760"/>
        <c:axId val="-1401331952"/>
      </c:scatterChart>
      <c:valAx>
        <c:axId val="-14013357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01331952"/>
        <c:crosses val="autoZero"/>
        <c:crossBetween val="midCat"/>
      </c:valAx>
      <c:valAx>
        <c:axId val="-14013319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01335760"/>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4'!$T$3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4'!$T$4:$T$21</c:f>
              <c:numCache>
                <c:formatCode>General</c:formatCode>
                <c:ptCount val="18"/>
                <c:pt idx="0">
                  <c:v>0.23570226039550868</c:v>
                </c:pt>
                <c:pt idx="1">
                  <c:v>0.23570226039550868</c:v>
                </c:pt>
                <c:pt idx="2">
                  <c:v>0.23570226039550868</c:v>
                </c:pt>
                <c:pt idx="3">
                  <c:v>0.23570226039550868</c:v>
                </c:pt>
                <c:pt idx="4">
                  <c:v>0.23570226039550868</c:v>
                </c:pt>
                <c:pt idx="5">
                  <c:v>0.23570226039550868</c:v>
                </c:pt>
                <c:pt idx="6">
                  <c:v>0.23570226039550868</c:v>
                </c:pt>
                <c:pt idx="7">
                  <c:v>0.23570226039550868</c:v>
                </c:pt>
                <c:pt idx="8">
                  <c:v>0.23570226039550868</c:v>
                </c:pt>
                <c:pt idx="9">
                  <c:v>0.23570226039550868</c:v>
                </c:pt>
                <c:pt idx="10">
                  <c:v>0.23570226039550868</c:v>
                </c:pt>
                <c:pt idx="11">
                  <c:v>0.23570226039550868</c:v>
                </c:pt>
                <c:pt idx="12">
                  <c:v>0.23570226039550868</c:v>
                </c:pt>
                <c:pt idx="13">
                  <c:v>0.23570226039550868</c:v>
                </c:pt>
                <c:pt idx="14">
                  <c:v>-4.0069384267237762</c:v>
                </c:pt>
                <c:pt idx="15">
                  <c:v>0.23570226039550868</c:v>
                </c:pt>
                <c:pt idx="16">
                  <c:v>0.23570226039550868</c:v>
                </c:pt>
                <c:pt idx="17">
                  <c:v>0.23570226039550868</c:v>
                </c:pt>
              </c:numCache>
            </c:numRef>
          </c:yVal>
          <c:smooth val="0"/>
        </c:ser>
        <c:dLbls>
          <c:showLegendKey val="0"/>
          <c:showVal val="0"/>
          <c:showCatName val="0"/>
          <c:showSerName val="0"/>
          <c:showPercent val="0"/>
          <c:showBubbleSize val="0"/>
        </c:dLbls>
        <c:axId val="-1399996592"/>
        <c:axId val="-1399995504"/>
      </c:scatterChart>
      <c:valAx>
        <c:axId val="-139999659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95504"/>
        <c:crosses val="autoZero"/>
        <c:crossBetween val="midCat"/>
      </c:valAx>
      <c:valAx>
        <c:axId val="-139999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96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'Plot 5'!$P$3</c:f>
              <c:strCache>
                <c:ptCount val="1"/>
                <c:pt idx="0">
                  <c:v>Adjusted AGB(for condition)(kg)</c:v>
                </c:pt>
              </c:strCache>
            </c:strRef>
          </c:tx>
          <c:spPr>
            <a:ln w="25400" cap="flat" cmpd="dbl" algn="ctr">
              <a:solidFill>
                <a:schemeClr val="accent1">
                  <a:alpha val="50000"/>
                </a:schemeClr>
              </a:solidFill>
              <a:round/>
            </a:ln>
            <a:effectLst/>
          </c:spPr>
          <c:marker>
            <c:symbol val="circle"/>
            <c:size val="6"/>
            <c:spPr>
              <a:noFill/>
              <a:ln w="34925" cap="flat" cmpd="dbl" algn="ctr">
                <a:solidFill>
                  <a:schemeClr val="accent1">
                    <a:lumMod val="75000"/>
                    <a:alpha val="70000"/>
                  </a:schemeClr>
                </a:solidFill>
                <a:round/>
              </a:ln>
              <a:effectLst/>
            </c:spPr>
          </c:marker>
          <c:xVal>
            <c:numRef>
              <c:f>'Plot 5'!$B$4:$B$60</c:f>
              <c:numCache>
                <c:formatCode>General</c:formatCode>
                <c:ptCount val="57"/>
                <c:pt idx="0">
                  <c:v>139</c:v>
                </c:pt>
                <c:pt idx="1">
                  <c:v>140</c:v>
                </c:pt>
                <c:pt idx="2">
                  <c:v>141</c:v>
                </c:pt>
                <c:pt idx="3">
                  <c:v>142</c:v>
                </c:pt>
                <c:pt idx="4">
                  <c:v>143</c:v>
                </c:pt>
                <c:pt idx="5">
                  <c:v>144</c:v>
                </c:pt>
                <c:pt idx="6">
                  <c:v>145</c:v>
                </c:pt>
                <c:pt idx="7">
                  <c:v>146</c:v>
                </c:pt>
                <c:pt idx="8">
                  <c:v>147</c:v>
                </c:pt>
                <c:pt idx="9">
                  <c:v>148</c:v>
                </c:pt>
                <c:pt idx="10">
                  <c:v>149</c:v>
                </c:pt>
                <c:pt idx="11">
                  <c:v>150</c:v>
                </c:pt>
                <c:pt idx="12">
                  <c:v>151</c:v>
                </c:pt>
                <c:pt idx="13">
                  <c:v>152</c:v>
                </c:pt>
                <c:pt idx="14">
                  <c:v>153</c:v>
                </c:pt>
                <c:pt idx="15">
                  <c:v>154</c:v>
                </c:pt>
                <c:pt idx="16">
                  <c:v>155</c:v>
                </c:pt>
                <c:pt idx="17">
                  <c:v>156</c:v>
                </c:pt>
                <c:pt idx="18">
                  <c:v>157</c:v>
                </c:pt>
                <c:pt idx="19">
                  <c:v>159</c:v>
                </c:pt>
                <c:pt idx="20">
                  <c:v>160</c:v>
                </c:pt>
                <c:pt idx="21">
                  <c:v>161</c:v>
                </c:pt>
                <c:pt idx="22">
                  <c:v>162</c:v>
                </c:pt>
                <c:pt idx="23">
                  <c:v>163</c:v>
                </c:pt>
                <c:pt idx="24">
                  <c:v>164</c:v>
                </c:pt>
                <c:pt idx="25">
                  <c:v>165</c:v>
                </c:pt>
                <c:pt idx="26">
                  <c:v>166</c:v>
                </c:pt>
                <c:pt idx="27">
                  <c:v>167</c:v>
                </c:pt>
                <c:pt idx="28">
                  <c:v>168</c:v>
                </c:pt>
                <c:pt idx="29">
                  <c:v>169</c:v>
                </c:pt>
                <c:pt idx="30">
                  <c:v>170</c:v>
                </c:pt>
                <c:pt idx="31">
                  <c:v>171</c:v>
                </c:pt>
                <c:pt idx="32">
                  <c:v>172</c:v>
                </c:pt>
                <c:pt idx="33">
                  <c:v>173</c:v>
                </c:pt>
                <c:pt idx="34">
                  <c:v>174</c:v>
                </c:pt>
                <c:pt idx="35">
                  <c:v>175</c:v>
                </c:pt>
                <c:pt idx="36">
                  <c:v>176</c:v>
                </c:pt>
                <c:pt idx="37">
                  <c:v>177</c:v>
                </c:pt>
                <c:pt idx="38">
                  <c:v>178</c:v>
                </c:pt>
                <c:pt idx="39">
                  <c:v>179</c:v>
                </c:pt>
                <c:pt idx="40">
                  <c:v>180</c:v>
                </c:pt>
                <c:pt idx="41">
                  <c:v>181</c:v>
                </c:pt>
                <c:pt idx="42">
                  <c:v>182</c:v>
                </c:pt>
                <c:pt idx="43">
                  <c:v>183</c:v>
                </c:pt>
                <c:pt idx="44">
                  <c:v>184</c:v>
                </c:pt>
                <c:pt idx="45">
                  <c:v>185</c:v>
                </c:pt>
                <c:pt idx="46">
                  <c:v>186</c:v>
                </c:pt>
                <c:pt idx="47">
                  <c:v>187</c:v>
                </c:pt>
                <c:pt idx="48">
                  <c:v>188</c:v>
                </c:pt>
                <c:pt idx="49">
                  <c:v>189</c:v>
                </c:pt>
                <c:pt idx="50">
                  <c:v>190</c:v>
                </c:pt>
                <c:pt idx="51">
                  <c:v>191</c:v>
                </c:pt>
                <c:pt idx="52">
                  <c:v>192</c:v>
                </c:pt>
                <c:pt idx="53">
                  <c:v>193</c:v>
                </c:pt>
                <c:pt idx="54">
                  <c:v>194</c:v>
                </c:pt>
                <c:pt idx="55">
                  <c:v>195</c:v>
                </c:pt>
                <c:pt idx="56">
                  <c:v>196</c:v>
                </c:pt>
              </c:numCache>
            </c:numRef>
          </c:xVal>
          <c:yVal>
            <c:numRef>
              <c:f>'Plot 5'!$P$4:$P$60</c:f>
              <c:numCache>
                <c:formatCode>General</c:formatCode>
                <c:ptCount val="57"/>
                <c:pt idx="0">
                  <c:v>1.9194076543160588</c:v>
                </c:pt>
                <c:pt idx="1">
                  <c:v>13.33272066964531</c:v>
                </c:pt>
                <c:pt idx="2">
                  <c:v>2.6505682848003134</c:v>
                </c:pt>
                <c:pt idx="3">
                  <c:v>3.0525462757048043</c:v>
                </c:pt>
                <c:pt idx="4">
                  <c:v>4.1791734128338041</c:v>
                </c:pt>
                <c:pt idx="5">
                  <c:v>2.3174913401779298</c:v>
                </c:pt>
                <c:pt idx="6">
                  <c:v>2.7607210030891678</c:v>
                </c:pt>
                <c:pt idx="7">
                  <c:v>2.7607210030891678</c:v>
                </c:pt>
                <c:pt idx="8">
                  <c:v>1.9664492170661332</c:v>
                </c:pt>
                <c:pt idx="9">
                  <c:v>1.9799477320382259</c:v>
                </c:pt>
                <c:pt idx="10">
                  <c:v>1.6273974668524536</c:v>
                </c:pt>
                <c:pt idx="11">
                  <c:v>1.7233166857738118</c:v>
                </c:pt>
                <c:pt idx="12">
                  <c:v>3.4638165399448106</c:v>
                </c:pt>
                <c:pt idx="13">
                  <c:v>1.6205265678522605</c:v>
                </c:pt>
                <c:pt idx="14">
                  <c:v>2.6505682848003134</c:v>
                </c:pt>
                <c:pt idx="15">
                  <c:v>2.6505682848003134</c:v>
                </c:pt>
                <c:pt idx="16">
                  <c:v>3.8427186702110636</c:v>
                </c:pt>
                <c:pt idx="17">
                  <c:v>1.3961833616202342</c:v>
                </c:pt>
                <c:pt idx="18">
                  <c:v>2.3361057475718492</c:v>
                </c:pt>
                <c:pt idx="19">
                  <c:v>1.6273974668524536</c:v>
                </c:pt>
                <c:pt idx="20">
                  <c:v>0.81722679915919538</c:v>
                </c:pt>
                <c:pt idx="21">
                  <c:v>1.8418547450480218</c:v>
                </c:pt>
                <c:pt idx="22">
                  <c:v>1.9137231185119898</c:v>
                </c:pt>
                <c:pt idx="23">
                  <c:v>1.3433405457624312</c:v>
                </c:pt>
                <c:pt idx="24">
                  <c:v>1.4200493292437573</c:v>
                </c:pt>
                <c:pt idx="25">
                  <c:v>1.4963797890089632</c:v>
                </c:pt>
                <c:pt idx="26">
                  <c:v>2.0553854420012065</c:v>
                </c:pt>
                <c:pt idx="27">
                  <c:v>1.3817437599447291</c:v>
                </c:pt>
                <c:pt idx="28">
                  <c:v>1.6754200339442811</c:v>
                </c:pt>
                <c:pt idx="29">
                  <c:v>1.9137231185119898</c:v>
                </c:pt>
                <c:pt idx="30">
                  <c:v>1.7710915544902228</c:v>
                </c:pt>
                <c:pt idx="31">
                  <c:v>1.6754200339442811</c:v>
                </c:pt>
                <c:pt idx="32">
                  <c:v>2.650568284800312</c:v>
                </c:pt>
                <c:pt idx="33">
                  <c:v>2.4289764130217004</c:v>
                </c:pt>
                <c:pt idx="34">
                  <c:v>2.7607210030891678</c:v>
                </c:pt>
                <c:pt idx="35">
                  <c:v>1.6781603370227367</c:v>
                </c:pt>
                <c:pt idx="36">
                  <c:v>1.8581490125704567</c:v>
                </c:pt>
                <c:pt idx="37">
                  <c:v>1.7233166857738118</c:v>
                </c:pt>
                <c:pt idx="38">
                  <c:v>0.81942177759069357</c:v>
                </c:pt>
                <c:pt idx="39">
                  <c:v>1.866291228090651</c:v>
                </c:pt>
                <c:pt idx="40">
                  <c:v>1.3433405457624312</c:v>
                </c:pt>
                <c:pt idx="41">
                  <c:v>0.56385858318501259</c:v>
                </c:pt>
                <c:pt idx="42">
                  <c:v>1.9042454475514179</c:v>
                </c:pt>
                <c:pt idx="43">
                  <c:v>2.9798394773493233</c:v>
                </c:pt>
                <c:pt idx="44">
                  <c:v>2.7607210030891678</c:v>
                </c:pt>
                <c:pt idx="45">
                  <c:v>1.0092051312018639</c:v>
                </c:pt>
                <c:pt idx="46">
                  <c:v>2.5215225015812317</c:v>
                </c:pt>
                <c:pt idx="47">
                  <c:v>2.4289764130217004</c:v>
                </c:pt>
                <c:pt idx="48">
                  <c:v>1.4963797890089632</c:v>
                </c:pt>
                <c:pt idx="49">
                  <c:v>1.6273974668524536</c:v>
                </c:pt>
                <c:pt idx="50">
                  <c:v>1.9137231185119898</c:v>
                </c:pt>
                <c:pt idx="51">
                  <c:v>1.6754200339442811</c:v>
                </c:pt>
                <c:pt idx="52">
                  <c:v>1.4963797890089632</c:v>
                </c:pt>
                <c:pt idx="53">
                  <c:v>2.0553854420012065</c:v>
                </c:pt>
                <c:pt idx="54">
                  <c:v>1.443681662673125</c:v>
                </c:pt>
                <c:pt idx="55">
                  <c:v>1.443681662673125</c:v>
                </c:pt>
                <c:pt idx="56">
                  <c:v>1.3083410159745454</c:v>
                </c:pt>
              </c:numCache>
            </c:numRef>
          </c:yVal>
          <c:smooth val="0"/>
        </c:ser>
        <c:dLbls>
          <c:showLegendKey val="0"/>
          <c:showVal val="0"/>
          <c:showCatName val="0"/>
          <c:showSerName val="0"/>
          <c:showPercent val="0"/>
          <c:showBubbleSize val="0"/>
        </c:dLbls>
        <c:axId val="-1399988976"/>
        <c:axId val="-1399994416"/>
      </c:scatterChart>
      <c:valAx>
        <c:axId val="-139998897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99994416"/>
        <c:crosses val="autoZero"/>
        <c:crossBetween val="midCat"/>
      </c:valAx>
      <c:valAx>
        <c:axId val="-13999944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889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5'!$T$3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5'!$T$4:$T$60</c:f>
              <c:numCache>
                <c:formatCode>General</c:formatCode>
                <c:ptCount val="57"/>
                <c:pt idx="0">
                  <c:v>0.17153730721898461</c:v>
                </c:pt>
                <c:pt idx="1">
                  <c:v>0.17153730721898461</c:v>
                </c:pt>
                <c:pt idx="2">
                  <c:v>0.17153730721898461</c:v>
                </c:pt>
                <c:pt idx="3">
                  <c:v>0.17153730721898461</c:v>
                </c:pt>
                <c:pt idx="4">
                  <c:v>0.17153730721898461</c:v>
                </c:pt>
                <c:pt idx="5">
                  <c:v>0.17153730721898461</c:v>
                </c:pt>
                <c:pt idx="6">
                  <c:v>0.17153730721898461</c:v>
                </c:pt>
                <c:pt idx="7">
                  <c:v>0.17153730721898461</c:v>
                </c:pt>
                <c:pt idx="8">
                  <c:v>0.17153730721898461</c:v>
                </c:pt>
                <c:pt idx="9">
                  <c:v>0.17153730721898461</c:v>
                </c:pt>
                <c:pt idx="10">
                  <c:v>0.17153730721898461</c:v>
                </c:pt>
                <c:pt idx="11">
                  <c:v>0.17153730721898461</c:v>
                </c:pt>
                <c:pt idx="12">
                  <c:v>0.17153730721898461</c:v>
                </c:pt>
                <c:pt idx="13">
                  <c:v>0.17153730721898461</c:v>
                </c:pt>
                <c:pt idx="14">
                  <c:v>0.17153730721898461</c:v>
                </c:pt>
                <c:pt idx="15">
                  <c:v>0.17153730721898461</c:v>
                </c:pt>
                <c:pt idx="16">
                  <c:v>0.17153730721898461</c:v>
                </c:pt>
                <c:pt idx="17">
                  <c:v>-2.4950881050031595</c:v>
                </c:pt>
                <c:pt idx="18">
                  <c:v>0.17153730721898461</c:v>
                </c:pt>
                <c:pt idx="19">
                  <c:v>0.17153730721898461</c:v>
                </c:pt>
                <c:pt idx="20">
                  <c:v>0.17153730721898461</c:v>
                </c:pt>
                <c:pt idx="21">
                  <c:v>0.17153730721898461</c:v>
                </c:pt>
                <c:pt idx="22">
                  <c:v>0.17153730721898461</c:v>
                </c:pt>
                <c:pt idx="23">
                  <c:v>0.17153730721898461</c:v>
                </c:pt>
                <c:pt idx="24">
                  <c:v>0.17153730721898461</c:v>
                </c:pt>
                <c:pt idx="25">
                  <c:v>0.17153730721898461</c:v>
                </c:pt>
                <c:pt idx="26">
                  <c:v>0.17153730721898461</c:v>
                </c:pt>
                <c:pt idx="27">
                  <c:v>0.17153730721898461</c:v>
                </c:pt>
                <c:pt idx="28">
                  <c:v>0.17153730721898461</c:v>
                </c:pt>
                <c:pt idx="29">
                  <c:v>0.17153730721898461</c:v>
                </c:pt>
                <c:pt idx="30">
                  <c:v>0.17153730721898461</c:v>
                </c:pt>
                <c:pt idx="31">
                  <c:v>0.17153730721898461</c:v>
                </c:pt>
                <c:pt idx="32">
                  <c:v>0.17153730721898461</c:v>
                </c:pt>
                <c:pt idx="33">
                  <c:v>0.17153730721898461</c:v>
                </c:pt>
                <c:pt idx="34">
                  <c:v>0.17153730721898461</c:v>
                </c:pt>
                <c:pt idx="35">
                  <c:v>0.17153730721898461</c:v>
                </c:pt>
                <c:pt idx="36">
                  <c:v>0.17153730721898461</c:v>
                </c:pt>
                <c:pt idx="37">
                  <c:v>0.17153730721898461</c:v>
                </c:pt>
                <c:pt idx="38">
                  <c:v>0.17153730721898461</c:v>
                </c:pt>
                <c:pt idx="39">
                  <c:v>0.17153730721898461</c:v>
                </c:pt>
                <c:pt idx="40">
                  <c:v>0.17153730721898461</c:v>
                </c:pt>
                <c:pt idx="41">
                  <c:v>-6.9394637920400655</c:v>
                </c:pt>
                <c:pt idx="42">
                  <c:v>0.17153730721898461</c:v>
                </c:pt>
                <c:pt idx="43">
                  <c:v>0.17153730721898461</c:v>
                </c:pt>
                <c:pt idx="44">
                  <c:v>0.17153730721898461</c:v>
                </c:pt>
                <c:pt idx="45">
                  <c:v>0.17153730721898461</c:v>
                </c:pt>
                <c:pt idx="46">
                  <c:v>0.17153730721898461</c:v>
                </c:pt>
                <c:pt idx="47">
                  <c:v>0.17153730721898461</c:v>
                </c:pt>
                <c:pt idx="48">
                  <c:v>0.17153730721898461</c:v>
                </c:pt>
                <c:pt idx="49">
                  <c:v>0.17153730721898461</c:v>
                </c:pt>
                <c:pt idx="50">
                  <c:v>0.17153730721898461</c:v>
                </c:pt>
                <c:pt idx="51">
                  <c:v>0.17153730721898461</c:v>
                </c:pt>
                <c:pt idx="52">
                  <c:v>0.17153730721898461</c:v>
                </c:pt>
                <c:pt idx="53">
                  <c:v>0.17153730721898461</c:v>
                </c:pt>
                <c:pt idx="54">
                  <c:v>0.17153730721898461</c:v>
                </c:pt>
                <c:pt idx="55">
                  <c:v>0.17153730721898461</c:v>
                </c:pt>
                <c:pt idx="56">
                  <c:v>0.17153730721898461</c:v>
                </c:pt>
              </c:numCache>
            </c:numRef>
          </c:yVal>
          <c:smooth val="0"/>
        </c:ser>
        <c:dLbls>
          <c:showLegendKey val="0"/>
          <c:showVal val="0"/>
          <c:showCatName val="0"/>
          <c:showSerName val="0"/>
          <c:showPercent val="0"/>
          <c:showBubbleSize val="0"/>
        </c:dLbls>
        <c:axId val="-1399992240"/>
        <c:axId val="-1399996048"/>
      </c:scatterChart>
      <c:valAx>
        <c:axId val="-13999922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96048"/>
        <c:crosses val="autoZero"/>
        <c:crossBetween val="midCat"/>
      </c:valAx>
      <c:valAx>
        <c:axId val="-139999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922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'Plot 6'!$P$3</c:f>
              <c:strCache>
                <c:ptCount val="1"/>
                <c:pt idx="0">
                  <c:v>Adjusted AGB(for condition)(kg)</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'Plot 6'!$B$4:$B$36</c:f>
              <c:numCache>
                <c:formatCode>General</c:formatCode>
                <c:ptCount val="33"/>
                <c:pt idx="0">
                  <c:v>197</c:v>
                </c:pt>
                <c:pt idx="1">
                  <c:v>198</c:v>
                </c:pt>
                <c:pt idx="2">
                  <c:v>199</c:v>
                </c:pt>
                <c:pt idx="3">
                  <c:v>201</c:v>
                </c:pt>
                <c:pt idx="4">
                  <c:v>200</c:v>
                </c:pt>
                <c:pt idx="5">
                  <c:v>202</c:v>
                </c:pt>
                <c:pt idx="6">
                  <c:v>203</c:v>
                </c:pt>
                <c:pt idx="7">
                  <c:v>204</c:v>
                </c:pt>
                <c:pt idx="8">
                  <c:v>205</c:v>
                </c:pt>
                <c:pt idx="9">
                  <c:v>206</c:v>
                </c:pt>
                <c:pt idx="10">
                  <c:v>207</c:v>
                </c:pt>
                <c:pt idx="11">
                  <c:v>208</c:v>
                </c:pt>
                <c:pt idx="12">
                  <c:v>209</c:v>
                </c:pt>
                <c:pt idx="13">
                  <c:v>210</c:v>
                </c:pt>
                <c:pt idx="14">
                  <c:v>211</c:v>
                </c:pt>
                <c:pt idx="15">
                  <c:v>212</c:v>
                </c:pt>
                <c:pt idx="16">
                  <c:v>213</c:v>
                </c:pt>
                <c:pt idx="17">
                  <c:v>214</c:v>
                </c:pt>
                <c:pt idx="18">
                  <c:v>215</c:v>
                </c:pt>
                <c:pt idx="19">
                  <c:v>216</c:v>
                </c:pt>
                <c:pt idx="20">
                  <c:v>217</c:v>
                </c:pt>
                <c:pt idx="21">
                  <c:v>218</c:v>
                </c:pt>
                <c:pt idx="22">
                  <c:v>219</c:v>
                </c:pt>
                <c:pt idx="23">
                  <c:v>220</c:v>
                </c:pt>
                <c:pt idx="24">
                  <c:v>221</c:v>
                </c:pt>
                <c:pt idx="25">
                  <c:v>222</c:v>
                </c:pt>
                <c:pt idx="26">
                  <c:v>223</c:v>
                </c:pt>
                <c:pt idx="27">
                  <c:v>224</c:v>
                </c:pt>
                <c:pt idx="28">
                  <c:v>225</c:v>
                </c:pt>
                <c:pt idx="29">
                  <c:v>226</c:v>
                </c:pt>
                <c:pt idx="30">
                  <c:v>227</c:v>
                </c:pt>
                <c:pt idx="31">
                  <c:v>228</c:v>
                </c:pt>
                <c:pt idx="32">
                  <c:v>229</c:v>
                </c:pt>
              </c:numCache>
            </c:numRef>
          </c:xVal>
          <c:yVal>
            <c:numRef>
              <c:f>'Plot 6'!$P$4:$P$36</c:f>
              <c:numCache>
                <c:formatCode>General</c:formatCode>
                <c:ptCount val="33"/>
                <c:pt idx="0">
                  <c:v>0.44762895928135304</c:v>
                </c:pt>
                <c:pt idx="1">
                  <c:v>1.220909054067624</c:v>
                </c:pt>
                <c:pt idx="2">
                  <c:v>0.60415637517876342</c:v>
                </c:pt>
                <c:pt idx="3">
                  <c:v>0.69426936521418026</c:v>
                </c:pt>
                <c:pt idx="4">
                  <c:v>0.64117799035695711</c:v>
                </c:pt>
                <c:pt idx="5">
                  <c:v>0.61309594276684909</c:v>
                </c:pt>
                <c:pt idx="6">
                  <c:v>0.48767168354751161</c:v>
                </c:pt>
                <c:pt idx="7">
                  <c:v>0.18796447227047275</c:v>
                </c:pt>
                <c:pt idx="8">
                  <c:v>0.5189264766677758</c:v>
                </c:pt>
                <c:pt idx="9">
                  <c:v>0.13327748146225424</c:v>
                </c:pt>
                <c:pt idx="10">
                  <c:v>0.49710501616474367</c:v>
                </c:pt>
                <c:pt idx="11">
                  <c:v>9.5381188356827379E-2</c:v>
                </c:pt>
                <c:pt idx="12">
                  <c:v>0.45054253591425575</c:v>
                </c:pt>
                <c:pt idx="13">
                  <c:v>0.11464631393228551</c:v>
                </c:pt>
                <c:pt idx="14">
                  <c:v>0.226318444248365</c:v>
                </c:pt>
                <c:pt idx="15">
                  <c:v>0.21370521251455665</c:v>
                </c:pt>
                <c:pt idx="16">
                  <c:v>0.38549927658881433</c:v>
                </c:pt>
                <c:pt idx="17">
                  <c:v>0.14661558482823378</c:v>
                </c:pt>
                <c:pt idx="18">
                  <c:v>7.4449406716622868E-2</c:v>
                </c:pt>
                <c:pt idx="19">
                  <c:v>0.26650842360923588</c:v>
                </c:pt>
                <c:pt idx="20">
                  <c:v>0.47447285558477581</c:v>
                </c:pt>
                <c:pt idx="21">
                  <c:v>0.3442490935922341</c:v>
                </c:pt>
                <c:pt idx="22">
                  <c:v>0.1418245655887771</c:v>
                </c:pt>
                <c:pt idx="23">
                  <c:v>0.14089181675409782</c:v>
                </c:pt>
                <c:pt idx="24">
                  <c:v>0.12659663109833202</c:v>
                </c:pt>
                <c:pt idx="25">
                  <c:v>1.8543899139312594</c:v>
                </c:pt>
                <c:pt idx="26">
                  <c:v>0.47041674992270499</c:v>
                </c:pt>
                <c:pt idx="27">
                  <c:v>0.49201814064978572</c:v>
                </c:pt>
                <c:pt idx="28">
                  <c:v>0.82324846557364428</c:v>
                </c:pt>
                <c:pt idx="29">
                  <c:v>0.5508358064520491</c:v>
                </c:pt>
                <c:pt idx="30">
                  <c:v>0.2236803390844635</c:v>
                </c:pt>
                <c:pt idx="31">
                  <c:v>0.49812357689432352</c:v>
                </c:pt>
                <c:pt idx="32">
                  <c:v>0.54568122363267091</c:v>
                </c:pt>
              </c:numCache>
            </c:numRef>
          </c:yVal>
          <c:smooth val="0"/>
        </c:ser>
        <c:dLbls>
          <c:showLegendKey val="0"/>
          <c:showVal val="0"/>
          <c:showCatName val="0"/>
          <c:showSerName val="0"/>
          <c:showPercent val="0"/>
          <c:showBubbleSize val="0"/>
        </c:dLbls>
        <c:axId val="-1399994960"/>
        <c:axId val="-1399991696"/>
      </c:scatterChart>
      <c:valAx>
        <c:axId val="-13999949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99991696"/>
        <c:crosses val="autoZero"/>
        <c:crossBetween val="midCat"/>
      </c:valAx>
      <c:valAx>
        <c:axId val="-139999169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99994960"/>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6'!$T$3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6'!$T$4:$T$36</c:f>
              <c:numCache>
                <c:formatCode>General</c:formatCode>
                <c:ptCount val="33"/>
                <c:pt idx="0">
                  <c:v>0.98473192783466179</c:v>
                </c:pt>
                <c:pt idx="1">
                  <c:v>0.98473192783466179</c:v>
                </c:pt>
                <c:pt idx="2">
                  <c:v>0.98473192783466179</c:v>
                </c:pt>
                <c:pt idx="3">
                  <c:v>0.98473192783466179</c:v>
                </c:pt>
                <c:pt idx="4">
                  <c:v>0.98473192783466179</c:v>
                </c:pt>
                <c:pt idx="5">
                  <c:v>0.98473192783466179</c:v>
                </c:pt>
                <c:pt idx="6">
                  <c:v>0.98473192783466179</c:v>
                </c:pt>
                <c:pt idx="7">
                  <c:v>0.98473192783466179</c:v>
                </c:pt>
                <c:pt idx="8">
                  <c:v>0.98473192783466179</c:v>
                </c:pt>
                <c:pt idx="9">
                  <c:v>0.98473192783466179</c:v>
                </c:pt>
                <c:pt idx="10">
                  <c:v>0.98473192783466179</c:v>
                </c:pt>
                <c:pt idx="11">
                  <c:v>0.98473192783466179</c:v>
                </c:pt>
                <c:pt idx="12">
                  <c:v>0.98473192783466179</c:v>
                </c:pt>
                <c:pt idx="13">
                  <c:v>0.98473192783466179</c:v>
                </c:pt>
                <c:pt idx="14">
                  <c:v>0.98473192783466179</c:v>
                </c:pt>
                <c:pt idx="15">
                  <c:v>0.98473192783466179</c:v>
                </c:pt>
                <c:pt idx="16">
                  <c:v>0.98473192783466179</c:v>
                </c:pt>
                <c:pt idx="17">
                  <c:v>0.98473192783466179</c:v>
                </c:pt>
                <c:pt idx="18">
                  <c:v>0.98473192783466179</c:v>
                </c:pt>
                <c:pt idx="19">
                  <c:v>0.98473192783466179</c:v>
                </c:pt>
                <c:pt idx="20">
                  <c:v>0.98473192783466179</c:v>
                </c:pt>
                <c:pt idx="21">
                  <c:v>0.98473192783466179</c:v>
                </c:pt>
                <c:pt idx="22">
                  <c:v>0.98473192783466179</c:v>
                </c:pt>
                <c:pt idx="23">
                  <c:v>0.98473192783466179</c:v>
                </c:pt>
                <c:pt idx="24">
                  <c:v>0.98473192783466179</c:v>
                </c:pt>
                <c:pt idx="25">
                  <c:v>0.98473192783466179</c:v>
                </c:pt>
                <c:pt idx="26">
                  <c:v>0.98473192783466179</c:v>
                </c:pt>
                <c:pt idx="27">
                  <c:v>0.98473192783466179</c:v>
                </c:pt>
                <c:pt idx="28">
                  <c:v>0.98473192783466179</c:v>
                </c:pt>
                <c:pt idx="29">
                  <c:v>0.98473192783466179</c:v>
                </c:pt>
                <c:pt idx="30">
                  <c:v>0.98473192783466179</c:v>
                </c:pt>
                <c:pt idx="31">
                  <c:v>0.98473192783466179</c:v>
                </c:pt>
                <c:pt idx="32">
                  <c:v>0.98473192783466179</c:v>
                </c:pt>
              </c:numCache>
            </c:numRef>
          </c:yVal>
          <c:smooth val="0"/>
        </c:ser>
        <c:dLbls>
          <c:showLegendKey val="0"/>
          <c:showVal val="0"/>
          <c:showCatName val="0"/>
          <c:showSerName val="0"/>
          <c:showPercent val="0"/>
          <c:showBubbleSize val="0"/>
        </c:dLbls>
        <c:axId val="-1399990064"/>
        <c:axId val="-1399989520"/>
      </c:scatterChart>
      <c:valAx>
        <c:axId val="-139999006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89520"/>
        <c:crosses val="autoZero"/>
        <c:crossBetween val="midCat"/>
      </c:valAx>
      <c:valAx>
        <c:axId val="-139998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900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7'!$P$3</c:f>
              <c:strCache>
                <c:ptCount val="1"/>
                <c:pt idx="0">
                  <c:v>Adjusted AGB(for condition)(kg)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 7'!$B$4:$B$49</c:f>
              <c:numCache>
                <c:formatCode>General</c:formatCode>
                <c:ptCount val="46"/>
                <c:pt idx="0">
                  <c:v>240</c:v>
                </c:pt>
                <c:pt idx="1">
                  <c:v>241</c:v>
                </c:pt>
                <c:pt idx="2">
                  <c:v>242</c:v>
                </c:pt>
                <c:pt idx="3">
                  <c:v>243</c:v>
                </c:pt>
                <c:pt idx="4">
                  <c:v>244</c:v>
                </c:pt>
                <c:pt idx="5">
                  <c:v>245</c:v>
                </c:pt>
                <c:pt idx="6">
                  <c:v>246</c:v>
                </c:pt>
                <c:pt idx="7">
                  <c:v>247</c:v>
                </c:pt>
                <c:pt idx="8">
                  <c:v>248</c:v>
                </c:pt>
                <c:pt idx="9">
                  <c:v>249</c:v>
                </c:pt>
                <c:pt idx="10">
                  <c:v>250</c:v>
                </c:pt>
                <c:pt idx="11">
                  <c:v>251</c:v>
                </c:pt>
                <c:pt idx="12">
                  <c:v>252</c:v>
                </c:pt>
                <c:pt idx="13">
                  <c:v>254</c:v>
                </c:pt>
                <c:pt idx="14">
                  <c:v>255</c:v>
                </c:pt>
                <c:pt idx="15">
                  <c:v>256</c:v>
                </c:pt>
                <c:pt idx="16">
                  <c:v>257</c:v>
                </c:pt>
                <c:pt idx="17">
                  <c:v>258</c:v>
                </c:pt>
                <c:pt idx="18">
                  <c:v>259</c:v>
                </c:pt>
                <c:pt idx="19">
                  <c:v>260</c:v>
                </c:pt>
                <c:pt idx="20">
                  <c:v>261</c:v>
                </c:pt>
                <c:pt idx="21">
                  <c:v>262</c:v>
                </c:pt>
                <c:pt idx="22">
                  <c:v>263</c:v>
                </c:pt>
                <c:pt idx="23">
                  <c:v>264</c:v>
                </c:pt>
                <c:pt idx="24">
                  <c:v>265</c:v>
                </c:pt>
                <c:pt idx="25">
                  <c:v>266</c:v>
                </c:pt>
                <c:pt idx="26">
                  <c:v>267</c:v>
                </c:pt>
                <c:pt idx="27">
                  <c:v>268</c:v>
                </c:pt>
                <c:pt idx="28">
                  <c:v>269</c:v>
                </c:pt>
                <c:pt idx="29">
                  <c:v>270</c:v>
                </c:pt>
                <c:pt idx="30">
                  <c:v>271</c:v>
                </c:pt>
                <c:pt idx="31">
                  <c:v>272</c:v>
                </c:pt>
                <c:pt idx="32">
                  <c:v>273</c:v>
                </c:pt>
                <c:pt idx="33">
                  <c:v>274</c:v>
                </c:pt>
                <c:pt idx="34">
                  <c:v>275</c:v>
                </c:pt>
                <c:pt idx="35">
                  <c:v>276</c:v>
                </c:pt>
                <c:pt idx="36">
                  <c:v>277</c:v>
                </c:pt>
                <c:pt idx="37">
                  <c:v>278</c:v>
                </c:pt>
                <c:pt idx="38">
                  <c:v>279</c:v>
                </c:pt>
                <c:pt idx="39">
                  <c:v>280</c:v>
                </c:pt>
                <c:pt idx="40">
                  <c:v>281</c:v>
                </c:pt>
                <c:pt idx="41">
                  <c:v>282</c:v>
                </c:pt>
                <c:pt idx="42">
                  <c:v>283</c:v>
                </c:pt>
                <c:pt idx="43">
                  <c:v>284</c:v>
                </c:pt>
                <c:pt idx="44">
                  <c:v>285</c:v>
                </c:pt>
                <c:pt idx="45">
                  <c:v>286</c:v>
                </c:pt>
              </c:numCache>
            </c:numRef>
          </c:xVal>
          <c:yVal>
            <c:numRef>
              <c:f>'Plot 7'!$P$4:$P$49</c:f>
              <c:numCache>
                <c:formatCode>General</c:formatCode>
                <c:ptCount val="46"/>
                <c:pt idx="0">
                  <c:v>3.1973637356096178</c:v>
                </c:pt>
                <c:pt idx="1">
                  <c:v>3.4213640378085297</c:v>
                </c:pt>
                <c:pt idx="2">
                  <c:v>2.6506563246591606</c:v>
                </c:pt>
                <c:pt idx="3">
                  <c:v>1.6666608338767184</c:v>
                </c:pt>
                <c:pt idx="4">
                  <c:v>2.6506563246591606</c:v>
                </c:pt>
                <c:pt idx="5">
                  <c:v>2.125258606364254</c:v>
                </c:pt>
                <c:pt idx="6">
                  <c:v>2.3014045480051388</c:v>
                </c:pt>
                <c:pt idx="7">
                  <c:v>2.5636247977070985</c:v>
                </c:pt>
                <c:pt idx="8">
                  <c:v>5.416266955546237</c:v>
                </c:pt>
                <c:pt idx="9">
                  <c:v>2.2895520315152202</c:v>
                </c:pt>
                <c:pt idx="10">
                  <c:v>1.5723813905082733</c:v>
                </c:pt>
                <c:pt idx="11">
                  <c:v>1.5723813905082733</c:v>
                </c:pt>
                <c:pt idx="12">
                  <c:v>0.93717309205966604</c:v>
                </c:pt>
                <c:pt idx="13">
                  <c:v>1.5251786836306145</c:v>
                </c:pt>
                <c:pt idx="14">
                  <c:v>1.2282365630380838</c:v>
                </c:pt>
                <c:pt idx="15">
                  <c:v>1.9042150981876125</c:v>
                </c:pt>
                <c:pt idx="16">
                  <c:v>0.51043578601147921</c:v>
                </c:pt>
                <c:pt idx="17">
                  <c:v>1.5472045361525915</c:v>
                </c:pt>
                <c:pt idx="18">
                  <c:v>1.6204804646864635</c:v>
                </c:pt>
                <c:pt idx="19">
                  <c:v>1.2197831487426689</c:v>
                </c:pt>
                <c:pt idx="20">
                  <c:v>2.0487352245834995</c:v>
                </c:pt>
                <c:pt idx="21">
                  <c:v>2.6760599897955579</c:v>
                </c:pt>
                <c:pt idx="22">
                  <c:v>2.3360685153320069</c:v>
                </c:pt>
                <c:pt idx="23">
                  <c:v>1.0493334475665295</c:v>
                </c:pt>
                <c:pt idx="24">
                  <c:v>2.4831289186791077</c:v>
                </c:pt>
                <c:pt idx="25">
                  <c:v>3.0708102142597591</c:v>
                </c:pt>
                <c:pt idx="26">
                  <c:v>2.2054258039431285</c:v>
                </c:pt>
                <c:pt idx="27">
                  <c:v>1.6753723690869819</c:v>
                </c:pt>
                <c:pt idx="28">
                  <c:v>2.1691576282739664</c:v>
                </c:pt>
                <c:pt idx="29">
                  <c:v>5.8671918791141406</c:v>
                </c:pt>
                <c:pt idx="30">
                  <c:v>1.7521141808422516</c:v>
                </c:pt>
                <c:pt idx="31">
                  <c:v>1.0950143684683122</c:v>
                </c:pt>
                <c:pt idx="32">
                  <c:v>1.2198363316228917</c:v>
                </c:pt>
                <c:pt idx="33">
                  <c:v>0.96312929029813643</c:v>
                </c:pt>
                <c:pt idx="34">
                  <c:v>2.5215958891790304</c:v>
                </c:pt>
                <c:pt idx="35">
                  <c:v>1.4103185178493514</c:v>
                </c:pt>
                <c:pt idx="36">
                  <c:v>3.1445946286984801</c:v>
                </c:pt>
                <c:pt idx="37">
                  <c:v>3.3605256013667724</c:v>
                </c:pt>
                <c:pt idx="38">
                  <c:v>1.9799626247563298</c:v>
                </c:pt>
                <c:pt idx="39">
                  <c:v>2.7974412974082399</c:v>
                </c:pt>
                <c:pt idx="40">
                  <c:v>1.7983812344125205</c:v>
                </c:pt>
                <c:pt idx="41">
                  <c:v>2.0956804593771854</c:v>
                </c:pt>
                <c:pt idx="42">
                  <c:v>1.59854882042313</c:v>
                </c:pt>
                <c:pt idx="43">
                  <c:v>1.1574817483452589</c:v>
                </c:pt>
                <c:pt idx="44">
                  <c:v>1.8664171535288796</c:v>
                </c:pt>
                <c:pt idx="45">
                  <c:v>1.7710111873238179</c:v>
                </c:pt>
              </c:numCache>
            </c:numRef>
          </c:yVal>
          <c:smooth val="0"/>
        </c:ser>
        <c:dLbls>
          <c:showLegendKey val="0"/>
          <c:showVal val="0"/>
          <c:showCatName val="0"/>
          <c:showSerName val="0"/>
          <c:showPercent val="0"/>
          <c:showBubbleSize val="0"/>
        </c:dLbls>
        <c:axId val="-1399997680"/>
        <c:axId val="-1400003664"/>
      </c:scatterChart>
      <c:valAx>
        <c:axId val="-139999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003664"/>
        <c:crosses val="autoZero"/>
        <c:crossBetween val="midCat"/>
      </c:valAx>
      <c:valAx>
        <c:axId val="-140000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97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7'!$T$3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7'!$T$4:$T$49</c:f>
              <c:numCache>
                <c:formatCode>General</c:formatCode>
                <c:ptCount val="46"/>
                <c:pt idx="0">
                  <c:v>5.7295327871113591E-2</c:v>
                </c:pt>
                <c:pt idx="1">
                  <c:v>5.7295327871113591E-2</c:v>
                </c:pt>
                <c:pt idx="2">
                  <c:v>5.7295327871113591E-2</c:v>
                </c:pt>
                <c:pt idx="3">
                  <c:v>5.7295327871113591E-2</c:v>
                </c:pt>
                <c:pt idx="4">
                  <c:v>5.7295327871113591E-2</c:v>
                </c:pt>
                <c:pt idx="5">
                  <c:v>5.7295327871113591E-2</c:v>
                </c:pt>
                <c:pt idx="6">
                  <c:v>5.7295327871113591E-2</c:v>
                </c:pt>
                <c:pt idx="7">
                  <c:v>5.7295327871113591E-2</c:v>
                </c:pt>
                <c:pt idx="8">
                  <c:v>5.7295327871113591E-2</c:v>
                </c:pt>
                <c:pt idx="9">
                  <c:v>5.7295327871113591E-2</c:v>
                </c:pt>
                <c:pt idx="10">
                  <c:v>5.7295327871113591E-2</c:v>
                </c:pt>
                <c:pt idx="11">
                  <c:v>5.7295327871113591E-2</c:v>
                </c:pt>
                <c:pt idx="12">
                  <c:v>5.7295327871113591E-2</c:v>
                </c:pt>
                <c:pt idx="13">
                  <c:v>5.7295327871113591E-2</c:v>
                </c:pt>
                <c:pt idx="14">
                  <c:v>5.7295327871113591E-2</c:v>
                </c:pt>
                <c:pt idx="15">
                  <c:v>5.7295327871113591E-2</c:v>
                </c:pt>
                <c:pt idx="16">
                  <c:v>5.7295327871113591E-2</c:v>
                </c:pt>
                <c:pt idx="17">
                  <c:v>-3.8960822952345362</c:v>
                </c:pt>
                <c:pt idx="18">
                  <c:v>5.7295327871113591E-2</c:v>
                </c:pt>
                <c:pt idx="19">
                  <c:v>5.7295327871113591E-2</c:v>
                </c:pt>
                <c:pt idx="20">
                  <c:v>5.7295327871113591E-2</c:v>
                </c:pt>
                <c:pt idx="21">
                  <c:v>2.6928804099415458</c:v>
                </c:pt>
                <c:pt idx="22">
                  <c:v>5.7295327871113591E-2</c:v>
                </c:pt>
                <c:pt idx="23">
                  <c:v>5.7295327871113591E-2</c:v>
                </c:pt>
                <c:pt idx="24">
                  <c:v>-3.8960822952345362</c:v>
                </c:pt>
                <c:pt idx="25">
                  <c:v>5.7295327871113591E-2</c:v>
                </c:pt>
                <c:pt idx="26">
                  <c:v>5.7295327871113591E-2</c:v>
                </c:pt>
                <c:pt idx="27">
                  <c:v>5.7295327871113591E-2</c:v>
                </c:pt>
                <c:pt idx="28">
                  <c:v>5.7295327871113591E-2</c:v>
                </c:pt>
                <c:pt idx="29">
                  <c:v>5.7295327871113591E-2</c:v>
                </c:pt>
                <c:pt idx="30">
                  <c:v>5.7295327871113591E-2</c:v>
                </c:pt>
                <c:pt idx="31">
                  <c:v>5.7295327871113591E-2</c:v>
                </c:pt>
                <c:pt idx="32">
                  <c:v>5.7295327871113591E-2</c:v>
                </c:pt>
                <c:pt idx="33">
                  <c:v>5.7295327871113591E-2</c:v>
                </c:pt>
                <c:pt idx="34">
                  <c:v>5.7295327871113591E-2</c:v>
                </c:pt>
                <c:pt idx="35">
                  <c:v>5.7295327871113591E-2</c:v>
                </c:pt>
                <c:pt idx="36">
                  <c:v>5.7295327871113591E-2</c:v>
                </c:pt>
                <c:pt idx="37">
                  <c:v>2.6928804099415458</c:v>
                </c:pt>
                <c:pt idx="38">
                  <c:v>5.7295327871113591E-2</c:v>
                </c:pt>
                <c:pt idx="39">
                  <c:v>5.7295327871113591E-2</c:v>
                </c:pt>
                <c:pt idx="40">
                  <c:v>5.7295327871113591E-2</c:v>
                </c:pt>
                <c:pt idx="41">
                  <c:v>5.7295327871113591E-2</c:v>
                </c:pt>
                <c:pt idx="42">
                  <c:v>5.7295327871113591E-2</c:v>
                </c:pt>
                <c:pt idx="43">
                  <c:v>5.7295327871113591E-2</c:v>
                </c:pt>
                <c:pt idx="44">
                  <c:v>5.7295327871113591E-2</c:v>
                </c:pt>
                <c:pt idx="45">
                  <c:v>5.7295327871113591E-2</c:v>
                </c:pt>
              </c:numCache>
            </c:numRef>
          </c:yVal>
          <c:smooth val="0"/>
        </c:ser>
        <c:dLbls>
          <c:showLegendKey val="0"/>
          <c:showVal val="0"/>
          <c:showCatName val="0"/>
          <c:showSerName val="0"/>
          <c:showPercent val="0"/>
          <c:showBubbleSize val="0"/>
        </c:dLbls>
        <c:axId val="-1400001488"/>
        <c:axId val="-1400000400"/>
      </c:scatterChart>
      <c:valAx>
        <c:axId val="-140000148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000400"/>
        <c:crosses val="autoZero"/>
        <c:crossBetween val="midCat"/>
      </c:valAx>
      <c:valAx>
        <c:axId val="-140000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0014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8'!$P$3</c:f>
              <c:strCache>
                <c:ptCount val="1"/>
                <c:pt idx="0">
                  <c:v>Adjusted AGB(for condition)(kg)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 8'!$B$4:$B$27</c:f>
              <c:numCache>
                <c:formatCode>General</c:formatCode>
                <c:ptCount val="24"/>
                <c:pt idx="0">
                  <c:v>287</c:v>
                </c:pt>
                <c:pt idx="1">
                  <c:v>288</c:v>
                </c:pt>
                <c:pt idx="2">
                  <c:v>289</c:v>
                </c:pt>
                <c:pt idx="3">
                  <c:v>290</c:v>
                </c:pt>
                <c:pt idx="4">
                  <c:v>291</c:v>
                </c:pt>
                <c:pt idx="5">
                  <c:v>292</c:v>
                </c:pt>
                <c:pt idx="6">
                  <c:v>293</c:v>
                </c:pt>
                <c:pt idx="7">
                  <c:v>294</c:v>
                </c:pt>
                <c:pt idx="8">
                  <c:v>295</c:v>
                </c:pt>
                <c:pt idx="9">
                  <c:v>296</c:v>
                </c:pt>
                <c:pt idx="10">
                  <c:v>297</c:v>
                </c:pt>
                <c:pt idx="11">
                  <c:v>298</c:v>
                </c:pt>
                <c:pt idx="12">
                  <c:v>299</c:v>
                </c:pt>
                <c:pt idx="13">
                  <c:v>300</c:v>
                </c:pt>
                <c:pt idx="14">
                  <c:v>301</c:v>
                </c:pt>
                <c:pt idx="15">
                  <c:v>302</c:v>
                </c:pt>
                <c:pt idx="16">
                  <c:v>303</c:v>
                </c:pt>
                <c:pt idx="17">
                  <c:v>304</c:v>
                </c:pt>
                <c:pt idx="18">
                  <c:v>305</c:v>
                </c:pt>
                <c:pt idx="19">
                  <c:v>306</c:v>
                </c:pt>
                <c:pt idx="20">
                  <c:v>307</c:v>
                </c:pt>
                <c:pt idx="21">
                  <c:v>308</c:v>
                </c:pt>
                <c:pt idx="22">
                  <c:v>309</c:v>
                </c:pt>
                <c:pt idx="23">
                  <c:v>310</c:v>
                </c:pt>
              </c:numCache>
            </c:numRef>
          </c:xVal>
          <c:yVal>
            <c:numRef>
              <c:f>'Plot 8'!$P$4:$P$27</c:f>
              <c:numCache>
                <c:formatCode>General</c:formatCode>
                <c:ptCount val="24"/>
                <c:pt idx="0">
                  <c:v>0.13758440657188092</c:v>
                </c:pt>
                <c:pt idx="1">
                  <c:v>8.4308381251517545E-2</c:v>
                </c:pt>
                <c:pt idx="2">
                  <c:v>0.16928005945641506</c:v>
                </c:pt>
                <c:pt idx="3">
                  <c:v>6.9774456281599548E-2</c:v>
                </c:pt>
                <c:pt idx="4">
                  <c:v>9.7775421297220527E-2</c:v>
                </c:pt>
                <c:pt idx="5">
                  <c:v>0.15852059053677303</c:v>
                </c:pt>
                <c:pt idx="6">
                  <c:v>0.44921870323291457</c:v>
                </c:pt>
                <c:pt idx="7">
                  <c:v>0.26470372872924097</c:v>
                </c:pt>
                <c:pt idx="8">
                  <c:v>0.14081216691739251</c:v>
                </c:pt>
                <c:pt idx="9">
                  <c:v>6.9496716775818201E-2</c:v>
                </c:pt>
                <c:pt idx="10">
                  <c:v>0.1038354566260363</c:v>
                </c:pt>
                <c:pt idx="11">
                  <c:v>6.2814931042952993E-2</c:v>
                </c:pt>
                <c:pt idx="12">
                  <c:v>0.3935899553088773</c:v>
                </c:pt>
                <c:pt idx="13">
                  <c:v>0.28571731840689241</c:v>
                </c:pt>
                <c:pt idx="14">
                  <c:v>9.6058693324109851E-2</c:v>
                </c:pt>
                <c:pt idx="15">
                  <c:v>9.9110783779042672E-2</c:v>
                </c:pt>
                <c:pt idx="16">
                  <c:v>0.23371202131744082</c:v>
                </c:pt>
                <c:pt idx="17">
                  <c:v>0.2790120602714099</c:v>
                </c:pt>
                <c:pt idx="18">
                  <c:v>0.12784544626083674</c:v>
                </c:pt>
                <c:pt idx="19">
                  <c:v>8.1867666501848638E-2</c:v>
                </c:pt>
                <c:pt idx="20">
                  <c:v>5.9440775085528322E-2</c:v>
                </c:pt>
                <c:pt idx="21">
                  <c:v>0.11122065209153034</c:v>
                </c:pt>
                <c:pt idx="22">
                  <c:v>0.16078434585315332</c:v>
                </c:pt>
                <c:pt idx="23">
                  <c:v>0.21390652345677313</c:v>
                </c:pt>
              </c:numCache>
            </c:numRef>
          </c:yVal>
          <c:smooth val="0"/>
        </c:ser>
        <c:dLbls>
          <c:showLegendKey val="0"/>
          <c:showVal val="0"/>
          <c:showCatName val="0"/>
          <c:showSerName val="0"/>
          <c:showPercent val="0"/>
          <c:showBubbleSize val="0"/>
        </c:dLbls>
        <c:axId val="-1400494560"/>
        <c:axId val="-1400496192"/>
      </c:scatterChart>
      <c:valAx>
        <c:axId val="-140049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96192"/>
        <c:crosses val="autoZero"/>
        <c:crossBetween val="midCat"/>
      </c:valAx>
      <c:valAx>
        <c:axId val="-140049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945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8'!$T$3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8'!$T$4:$T$27</c:f>
              <c:numCache>
                <c:formatCode>General</c:formatCode>
                <c:ptCount val="24"/>
                <c:pt idx="0">
                  <c:v>0.53356380425923955</c:v>
                </c:pt>
                <c:pt idx="1">
                  <c:v>0.53356380425923955</c:v>
                </c:pt>
                <c:pt idx="2">
                  <c:v>0.53356380425923955</c:v>
                </c:pt>
                <c:pt idx="3">
                  <c:v>0.53356380425923955</c:v>
                </c:pt>
                <c:pt idx="4">
                  <c:v>0.53356380425923955</c:v>
                </c:pt>
                <c:pt idx="5">
                  <c:v>0.53356380425923955</c:v>
                </c:pt>
                <c:pt idx="6">
                  <c:v>0.53356380425923955</c:v>
                </c:pt>
                <c:pt idx="7">
                  <c:v>0.53356380425923955</c:v>
                </c:pt>
                <c:pt idx="8">
                  <c:v>0.53356380425923955</c:v>
                </c:pt>
                <c:pt idx="9">
                  <c:v>0.53356380425923955</c:v>
                </c:pt>
                <c:pt idx="10">
                  <c:v>-0.34957628554915499</c:v>
                </c:pt>
                <c:pt idx="11">
                  <c:v>-1.6742864202617473</c:v>
                </c:pt>
                <c:pt idx="12">
                  <c:v>0.53356380425923955</c:v>
                </c:pt>
                <c:pt idx="13">
                  <c:v>0.53356380425923955</c:v>
                </c:pt>
                <c:pt idx="14">
                  <c:v>-0.34957628554915499</c:v>
                </c:pt>
                <c:pt idx="15">
                  <c:v>-0.34957628554915499</c:v>
                </c:pt>
                <c:pt idx="16">
                  <c:v>0.53356380425923955</c:v>
                </c:pt>
                <c:pt idx="17">
                  <c:v>0.53356380425923955</c:v>
                </c:pt>
                <c:pt idx="18">
                  <c:v>-0.34957628554915499</c:v>
                </c:pt>
                <c:pt idx="19">
                  <c:v>-0.34957628554915499</c:v>
                </c:pt>
                <c:pt idx="20">
                  <c:v>-3.8821366447827339</c:v>
                </c:pt>
                <c:pt idx="21">
                  <c:v>-0.34957628554915499</c:v>
                </c:pt>
                <c:pt idx="22">
                  <c:v>-0.34957628554915499</c:v>
                </c:pt>
                <c:pt idx="23">
                  <c:v>0.53356380425923955</c:v>
                </c:pt>
              </c:numCache>
            </c:numRef>
          </c:yVal>
          <c:smooth val="0"/>
        </c:ser>
        <c:dLbls>
          <c:showLegendKey val="0"/>
          <c:showVal val="0"/>
          <c:showCatName val="0"/>
          <c:showSerName val="0"/>
          <c:showPercent val="0"/>
          <c:showBubbleSize val="0"/>
        </c:dLbls>
        <c:axId val="-1400494016"/>
        <c:axId val="-1400493472"/>
      </c:scatterChart>
      <c:valAx>
        <c:axId val="-140049401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93472"/>
        <c:crosses val="autoZero"/>
        <c:crossBetween val="midCat"/>
      </c:valAx>
      <c:valAx>
        <c:axId val="-140049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94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9'!$P$3</c:f>
              <c:strCache>
                <c:ptCount val="1"/>
                <c:pt idx="0">
                  <c:v>Adjusted AGB(for condition)(kg)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 9'!$B$4:$B$42</c:f>
              <c:numCache>
                <c:formatCode>General</c:formatCode>
                <c:ptCount val="39"/>
                <c:pt idx="0">
                  <c:v>341</c:v>
                </c:pt>
                <c:pt idx="1">
                  <c:v>342</c:v>
                </c:pt>
                <c:pt idx="2">
                  <c:v>343</c:v>
                </c:pt>
                <c:pt idx="3">
                  <c:v>344</c:v>
                </c:pt>
                <c:pt idx="4">
                  <c:v>345</c:v>
                </c:pt>
                <c:pt idx="5">
                  <c:v>346</c:v>
                </c:pt>
                <c:pt idx="6">
                  <c:v>347</c:v>
                </c:pt>
                <c:pt idx="7">
                  <c:v>348</c:v>
                </c:pt>
                <c:pt idx="8">
                  <c:v>349</c:v>
                </c:pt>
                <c:pt idx="9">
                  <c:v>350</c:v>
                </c:pt>
                <c:pt idx="10">
                  <c:v>351</c:v>
                </c:pt>
                <c:pt idx="11">
                  <c:v>352</c:v>
                </c:pt>
                <c:pt idx="12">
                  <c:v>353</c:v>
                </c:pt>
                <c:pt idx="13">
                  <c:v>354</c:v>
                </c:pt>
                <c:pt idx="14">
                  <c:v>355</c:v>
                </c:pt>
                <c:pt idx="15">
                  <c:v>356</c:v>
                </c:pt>
                <c:pt idx="16">
                  <c:v>357</c:v>
                </c:pt>
                <c:pt idx="17">
                  <c:v>358</c:v>
                </c:pt>
                <c:pt idx="18">
                  <c:v>359</c:v>
                </c:pt>
                <c:pt idx="19">
                  <c:v>360</c:v>
                </c:pt>
                <c:pt idx="20">
                  <c:v>361</c:v>
                </c:pt>
                <c:pt idx="21">
                  <c:v>362</c:v>
                </c:pt>
                <c:pt idx="22">
                  <c:v>363</c:v>
                </c:pt>
                <c:pt idx="23">
                  <c:v>364</c:v>
                </c:pt>
                <c:pt idx="24">
                  <c:v>365</c:v>
                </c:pt>
                <c:pt idx="25">
                  <c:v>366</c:v>
                </c:pt>
                <c:pt idx="26">
                  <c:v>367</c:v>
                </c:pt>
                <c:pt idx="27">
                  <c:v>368</c:v>
                </c:pt>
                <c:pt idx="28">
                  <c:v>369</c:v>
                </c:pt>
                <c:pt idx="29">
                  <c:v>370</c:v>
                </c:pt>
                <c:pt idx="30">
                  <c:v>371</c:v>
                </c:pt>
                <c:pt idx="31">
                  <c:v>372</c:v>
                </c:pt>
                <c:pt idx="32">
                  <c:v>373</c:v>
                </c:pt>
                <c:pt idx="33">
                  <c:v>374</c:v>
                </c:pt>
                <c:pt idx="34">
                  <c:v>375</c:v>
                </c:pt>
                <c:pt idx="35">
                  <c:v>376</c:v>
                </c:pt>
                <c:pt idx="36">
                  <c:v>377</c:v>
                </c:pt>
                <c:pt idx="37">
                  <c:v>378</c:v>
                </c:pt>
                <c:pt idx="38">
                  <c:v>379</c:v>
                </c:pt>
              </c:numCache>
            </c:numRef>
          </c:xVal>
          <c:yVal>
            <c:numRef>
              <c:f>'Plot 9'!$P$4:$P$42</c:f>
              <c:numCache>
                <c:formatCode>General</c:formatCode>
                <c:ptCount val="39"/>
                <c:pt idx="0">
                  <c:v>0.16787815628310884</c:v>
                </c:pt>
                <c:pt idx="1">
                  <c:v>0.10842850072897812</c:v>
                </c:pt>
                <c:pt idx="2">
                  <c:v>0.14050698273557286</c:v>
                </c:pt>
                <c:pt idx="3">
                  <c:v>0.3323500232593391</c:v>
                </c:pt>
                <c:pt idx="4">
                  <c:v>0.71247166396796935</c:v>
                </c:pt>
                <c:pt idx="5">
                  <c:v>0.40270757630475618</c:v>
                </c:pt>
                <c:pt idx="6">
                  <c:v>0.12123066647212692</c:v>
                </c:pt>
                <c:pt idx="7">
                  <c:v>0.3068268470180695</c:v>
                </c:pt>
                <c:pt idx="8">
                  <c:v>0.12649572278046267</c:v>
                </c:pt>
                <c:pt idx="9">
                  <c:v>0.31007135988489221</c:v>
                </c:pt>
                <c:pt idx="10">
                  <c:v>0.68503278886268504</c:v>
                </c:pt>
                <c:pt idx="11">
                  <c:v>6.9543268599187386E-2</c:v>
                </c:pt>
                <c:pt idx="12">
                  <c:v>0.34170122368642786</c:v>
                </c:pt>
                <c:pt idx="13">
                  <c:v>0.21186650657563094</c:v>
                </c:pt>
                <c:pt idx="14">
                  <c:v>0.90508420998512606</c:v>
                </c:pt>
                <c:pt idx="15">
                  <c:v>0.24915792436433182</c:v>
                </c:pt>
                <c:pt idx="16">
                  <c:v>0.18527589855062493</c:v>
                </c:pt>
                <c:pt idx="17">
                  <c:v>0.27189426986905463</c:v>
                </c:pt>
                <c:pt idx="18">
                  <c:v>6.8964227110637127E-2</c:v>
                </c:pt>
                <c:pt idx="19">
                  <c:v>6.6715842094624264E-2</c:v>
                </c:pt>
                <c:pt idx="20">
                  <c:v>0.1954669823021227</c:v>
                </c:pt>
                <c:pt idx="21">
                  <c:v>0.11258056387471592</c:v>
                </c:pt>
                <c:pt idx="22">
                  <c:v>0.1273969201054172</c:v>
                </c:pt>
                <c:pt idx="23">
                  <c:v>0.19816397395719959</c:v>
                </c:pt>
                <c:pt idx="24">
                  <c:v>0.11798231209593669</c:v>
                </c:pt>
                <c:pt idx="25">
                  <c:v>0.13514819153421673</c:v>
                </c:pt>
                <c:pt idx="26">
                  <c:v>0.63992542288416276</c:v>
                </c:pt>
                <c:pt idx="27">
                  <c:v>0.36996534007616116</c:v>
                </c:pt>
                <c:pt idx="28">
                  <c:v>3.3614499209970755E-2</c:v>
                </c:pt>
                <c:pt idx="29">
                  <c:v>2.7724139800129326E-2</c:v>
                </c:pt>
                <c:pt idx="30">
                  <c:v>1.7951972496851164E-2</c:v>
                </c:pt>
                <c:pt idx="31">
                  <c:v>0.29094746769699575</c:v>
                </c:pt>
                <c:pt idx="32">
                  <c:v>9.3065469932014408E-2</c:v>
                </c:pt>
                <c:pt idx="33">
                  <c:v>0.10261729821842132</c:v>
                </c:pt>
                <c:pt idx="34">
                  <c:v>3.8061170094643194E-2</c:v>
                </c:pt>
                <c:pt idx="35">
                  <c:v>0.15059407443659129</c:v>
                </c:pt>
                <c:pt idx="36">
                  <c:v>0.3691484589686681</c:v>
                </c:pt>
                <c:pt idx="37">
                  <c:v>0.20252715958000175</c:v>
                </c:pt>
                <c:pt idx="38">
                  <c:v>0.1102994965154212</c:v>
                </c:pt>
              </c:numCache>
            </c:numRef>
          </c:yVal>
          <c:smooth val="0"/>
        </c:ser>
        <c:dLbls>
          <c:showLegendKey val="0"/>
          <c:showVal val="0"/>
          <c:showCatName val="0"/>
          <c:showSerName val="0"/>
          <c:showPercent val="0"/>
          <c:showBubbleSize val="0"/>
        </c:dLbls>
        <c:axId val="-1400492928"/>
        <c:axId val="-1400492384"/>
      </c:scatterChart>
      <c:valAx>
        <c:axId val="-140049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92384"/>
        <c:crosses val="autoZero"/>
        <c:crossBetween val="midCat"/>
      </c:valAx>
      <c:valAx>
        <c:axId val="-140049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929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9'!$T$3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9'!$T$4:$T$42</c:f>
              <c:numCache>
                <c:formatCode>General</c:formatCode>
                <c:ptCount val="39"/>
                <c:pt idx="0">
                  <c:v>-0.22949521273446785</c:v>
                </c:pt>
                <c:pt idx="1">
                  <c:v>-0.22949521273446785</c:v>
                </c:pt>
                <c:pt idx="2">
                  <c:v>-0.22949521273446785</c:v>
                </c:pt>
                <c:pt idx="3">
                  <c:v>-0.22949521273446785</c:v>
                </c:pt>
                <c:pt idx="4">
                  <c:v>-0.22949521273446785</c:v>
                </c:pt>
                <c:pt idx="5">
                  <c:v>-0.22949521273446785</c:v>
                </c:pt>
                <c:pt idx="6">
                  <c:v>-0.22949521273446785</c:v>
                </c:pt>
                <c:pt idx="7">
                  <c:v>-0.22949521273446785</c:v>
                </c:pt>
                <c:pt idx="8">
                  <c:v>-0.22949521273446785</c:v>
                </c:pt>
                <c:pt idx="9">
                  <c:v>-0.22949521273446785</c:v>
                </c:pt>
                <c:pt idx="10">
                  <c:v>-0.22949521273446785</c:v>
                </c:pt>
                <c:pt idx="11">
                  <c:v>-0.22949521273446785</c:v>
                </c:pt>
                <c:pt idx="12">
                  <c:v>-0.22949521273446785</c:v>
                </c:pt>
                <c:pt idx="13">
                  <c:v>-0.22949521273446785</c:v>
                </c:pt>
                <c:pt idx="14">
                  <c:v>4.2456614355882518</c:v>
                </c:pt>
                <c:pt idx="15">
                  <c:v>-0.22949521273446785</c:v>
                </c:pt>
                <c:pt idx="16">
                  <c:v>-0.22949521273446785</c:v>
                </c:pt>
                <c:pt idx="17">
                  <c:v>-0.22949521273446785</c:v>
                </c:pt>
                <c:pt idx="18">
                  <c:v>4.2456614355882518</c:v>
                </c:pt>
                <c:pt idx="19">
                  <c:v>-0.22949521273446785</c:v>
                </c:pt>
                <c:pt idx="20">
                  <c:v>-0.22949521273446785</c:v>
                </c:pt>
                <c:pt idx="21">
                  <c:v>-0.22949521273446785</c:v>
                </c:pt>
                <c:pt idx="22">
                  <c:v>-0.22949521273446785</c:v>
                </c:pt>
                <c:pt idx="23">
                  <c:v>-0.22949521273446785</c:v>
                </c:pt>
                <c:pt idx="24">
                  <c:v>-0.22949521273446785</c:v>
                </c:pt>
                <c:pt idx="25">
                  <c:v>-0.22949521273446785</c:v>
                </c:pt>
                <c:pt idx="26">
                  <c:v>-0.22949521273446785</c:v>
                </c:pt>
                <c:pt idx="27">
                  <c:v>-0.22949521273446785</c:v>
                </c:pt>
                <c:pt idx="28">
                  <c:v>-0.22949521273446785</c:v>
                </c:pt>
                <c:pt idx="29">
                  <c:v>-0.22949521273446785</c:v>
                </c:pt>
                <c:pt idx="30">
                  <c:v>-0.22949521273446785</c:v>
                </c:pt>
                <c:pt idx="31">
                  <c:v>-0.22949521273446785</c:v>
                </c:pt>
                <c:pt idx="32">
                  <c:v>-0.22949521273446785</c:v>
                </c:pt>
                <c:pt idx="33">
                  <c:v>-0.22949521273446785</c:v>
                </c:pt>
                <c:pt idx="34">
                  <c:v>-0.22949521273446785</c:v>
                </c:pt>
                <c:pt idx="35">
                  <c:v>-0.22949521273446785</c:v>
                </c:pt>
                <c:pt idx="36">
                  <c:v>-0.22949521273446785</c:v>
                </c:pt>
                <c:pt idx="37">
                  <c:v>-0.22949521273446785</c:v>
                </c:pt>
                <c:pt idx="38">
                  <c:v>-0.22949521273446785</c:v>
                </c:pt>
              </c:numCache>
            </c:numRef>
          </c:yVal>
          <c:smooth val="0"/>
        </c:ser>
        <c:dLbls>
          <c:showLegendKey val="0"/>
          <c:showVal val="0"/>
          <c:showCatName val="0"/>
          <c:showSerName val="0"/>
          <c:showPercent val="0"/>
          <c:showBubbleSize val="0"/>
        </c:dLbls>
        <c:axId val="-1400497824"/>
        <c:axId val="-1400500000"/>
      </c:scatterChart>
      <c:valAx>
        <c:axId val="-140049782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00000"/>
        <c:crosses val="autoZero"/>
        <c:crossBetween val="midCat"/>
      </c:valAx>
      <c:valAx>
        <c:axId val="-140050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97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10'!$P$3</c:f>
              <c:strCache>
                <c:ptCount val="1"/>
                <c:pt idx="0">
                  <c:v>Adjusted AGB(for condition)(kg)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 10'!$B$4:$B$19</c:f>
              <c:numCache>
                <c:formatCode>General</c:formatCode>
                <c:ptCount val="16"/>
                <c:pt idx="0">
                  <c:v>311</c:v>
                </c:pt>
                <c:pt idx="1">
                  <c:v>312</c:v>
                </c:pt>
                <c:pt idx="2">
                  <c:v>313</c:v>
                </c:pt>
                <c:pt idx="3">
                  <c:v>314</c:v>
                </c:pt>
                <c:pt idx="4">
                  <c:v>315</c:v>
                </c:pt>
                <c:pt idx="5">
                  <c:v>316</c:v>
                </c:pt>
                <c:pt idx="6">
                  <c:v>317</c:v>
                </c:pt>
                <c:pt idx="7">
                  <c:v>318</c:v>
                </c:pt>
                <c:pt idx="8">
                  <c:v>319</c:v>
                </c:pt>
                <c:pt idx="9">
                  <c:v>320</c:v>
                </c:pt>
                <c:pt idx="10">
                  <c:v>321</c:v>
                </c:pt>
                <c:pt idx="11">
                  <c:v>322</c:v>
                </c:pt>
                <c:pt idx="12">
                  <c:v>323</c:v>
                </c:pt>
                <c:pt idx="13">
                  <c:v>324</c:v>
                </c:pt>
                <c:pt idx="14">
                  <c:v>325</c:v>
                </c:pt>
                <c:pt idx="15">
                  <c:v>326</c:v>
                </c:pt>
              </c:numCache>
            </c:numRef>
          </c:xVal>
          <c:yVal>
            <c:numRef>
              <c:f>'Plot 10'!$P$4:$P$19</c:f>
              <c:numCache>
                <c:formatCode>General</c:formatCode>
                <c:ptCount val="16"/>
                <c:pt idx="0">
                  <c:v>0.40898320059947074</c:v>
                </c:pt>
                <c:pt idx="1">
                  <c:v>0.45142060253014532</c:v>
                </c:pt>
                <c:pt idx="2">
                  <c:v>0.27161229202822101</c:v>
                </c:pt>
                <c:pt idx="3">
                  <c:v>0.3026208253027543</c:v>
                </c:pt>
                <c:pt idx="4">
                  <c:v>0.62831635545604048</c:v>
                </c:pt>
                <c:pt idx="5">
                  <c:v>0.57803176563463443</c:v>
                </c:pt>
                <c:pt idx="6">
                  <c:v>0.4843959181713014</c:v>
                </c:pt>
                <c:pt idx="7">
                  <c:v>0.52783188511908519</c:v>
                </c:pt>
                <c:pt idx="8">
                  <c:v>0.52569080673946134</c:v>
                </c:pt>
                <c:pt idx="9">
                  <c:v>0.3304852986108594</c:v>
                </c:pt>
                <c:pt idx="10">
                  <c:v>0.20074276850378303</c:v>
                </c:pt>
                <c:pt idx="11">
                  <c:v>0.28935673686280544</c:v>
                </c:pt>
                <c:pt idx="12">
                  <c:v>0.47756312554824626</c:v>
                </c:pt>
                <c:pt idx="13">
                  <c:v>0.53755583605190749</c:v>
                </c:pt>
                <c:pt idx="14">
                  <c:v>0.78567339284697557</c:v>
                </c:pt>
                <c:pt idx="15">
                  <c:v>0.18421862531853142</c:v>
                </c:pt>
              </c:numCache>
            </c:numRef>
          </c:yVal>
          <c:smooth val="0"/>
        </c:ser>
        <c:dLbls>
          <c:showLegendKey val="0"/>
          <c:showVal val="0"/>
          <c:showCatName val="0"/>
          <c:showSerName val="0"/>
          <c:showPercent val="0"/>
          <c:showBubbleSize val="0"/>
        </c:dLbls>
        <c:axId val="-1400490752"/>
        <c:axId val="-1400490208"/>
      </c:scatterChart>
      <c:valAx>
        <c:axId val="-140049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90208"/>
        <c:crosses val="autoZero"/>
        <c:crossBetween val="midCat"/>
      </c:valAx>
      <c:valAx>
        <c:axId val="-140049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4907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'Plot 10'!$T$3</c:f>
              <c:strCache>
                <c:ptCount val="1"/>
                <c:pt idx="0">
                  <c:v>Standadize Tree Condition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'Plot 10'!$T$4:$T$19</c:f>
              <c:numCache>
                <c:formatCode>General</c:formatCode>
                <c:ptCount val="16"/>
                <c:pt idx="0">
                  <c:v>1.0978875820670986</c:v>
                </c:pt>
                <c:pt idx="1">
                  <c:v>-0.85391256382996816</c:v>
                </c:pt>
                <c:pt idx="2">
                  <c:v>-0.85391256382996816</c:v>
                </c:pt>
                <c:pt idx="3">
                  <c:v>-0.85391256382996816</c:v>
                </c:pt>
                <c:pt idx="4">
                  <c:v>-0.85391256382996816</c:v>
                </c:pt>
                <c:pt idx="5">
                  <c:v>-0.85391256382996816</c:v>
                </c:pt>
                <c:pt idx="6">
                  <c:v>1.0978875820670986</c:v>
                </c:pt>
                <c:pt idx="7">
                  <c:v>1.0978875820670986</c:v>
                </c:pt>
                <c:pt idx="8">
                  <c:v>1.0978875820670986</c:v>
                </c:pt>
                <c:pt idx="9">
                  <c:v>-0.85391256382996816</c:v>
                </c:pt>
                <c:pt idx="10">
                  <c:v>-0.85391256382996816</c:v>
                </c:pt>
                <c:pt idx="11">
                  <c:v>-0.85391256382996816</c:v>
                </c:pt>
                <c:pt idx="12">
                  <c:v>1.0978875820670986</c:v>
                </c:pt>
                <c:pt idx="13">
                  <c:v>1.0978875820670986</c:v>
                </c:pt>
                <c:pt idx="14">
                  <c:v>-0.85391256382996816</c:v>
                </c:pt>
                <c:pt idx="15">
                  <c:v>1.0978875820670986</c:v>
                </c:pt>
              </c:numCache>
            </c:numRef>
          </c:yVal>
          <c:smooth val="0"/>
        </c:ser>
        <c:dLbls>
          <c:showLegendKey val="0"/>
          <c:showVal val="0"/>
          <c:showCatName val="0"/>
          <c:showSerName val="0"/>
          <c:showPercent val="0"/>
          <c:showBubbleSize val="0"/>
        </c:dLbls>
        <c:axId val="-1400504896"/>
        <c:axId val="-1400504352"/>
      </c:scatterChart>
      <c:valAx>
        <c:axId val="-14005048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04352"/>
        <c:crosses val="autoZero"/>
        <c:crossBetween val="midCat"/>
      </c:valAx>
      <c:valAx>
        <c:axId val="-140050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048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a:t>Growth Condition Average of Newly Planted and Existing Mangrove Vegetations</a:t>
            </a:r>
          </a:p>
          <a:p>
            <a:pPr>
              <a:defRPr/>
            </a:pP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'Tree Condition summery'!$F$18:$F$19</c:f>
              <c:strCache>
                <c:ptCount val="2"/>
                <c:pt idx="0">
                  <c:v>Average Tree condition value of Newly Planted Vegetations </c:v>
                </c:pt>
                <c:pt idx="1">
                  <c:v>Average Tree condition value of Existing Planted Vegetations </c:v>
                </c:pt>
              </c:strCache>
            </c:strRef>
          </c:cat>
          <c:val>
            <c:numRef>
              <c:f>'Tree Condition summery'!$G$18:$G$19</c:f>
              <c:numCache>
                <c:formatCode>General</c:formatCode>
                <c:ptCount val="2"/>
                <c:pt idx="0">
                  <c:v>0.88514913686284635</c:v>
                </c:pt>
                <c:pt idx="1">
                  <c:v>0.89408848207475133</c:v>
                </c:pt>
              </c:numCache>
            </c:numRef>
          </c:val>
        </c:ser>
        <c:dLbls>
          <c:showLegendKey val="0"/>
          <c:showVal val="0"/>
          <c:showCatName val="0"/>
          <c:showSerName val="0"/>
          <c:showPercent val="0"/>
          <c:showBubbleSize val="0"/>
        </c:dLbls>
        <c:gapWidth val="164"/>
        <c:overlap val="-22"/>
        <c:axId val="-1400501632"/>
        <c:axId val="-1400501088"/>
      </c:barChart>
      <c:catAx>
        <c:axId val="-14005016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01088"/>
        <c:crosses val="autoZero"/>
        <c:auto val="1"/>
        <c:lblAlgn val="ctr"/>
        <c:lblOffset val="100"/>
        <c:noMultiLvlLbl val="0"/>
      </c:catAx>
      <c:valAx>
        <c:axId val="-1400501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01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23</xdr:row>
      <xdr:rowOff>28575</xdr:rowOff>
    </xdr:from>
    <xdr:to>
      <xdr:col>6</xdr:col>
      <xdr:colOff>180974</xdr:colOff>
      <xdr:row>36</xdr:row>
      <xdr:rowOff>19049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6825" y="4410075"/>
          <a:ext cx="2571749" cy="2466974"/>
        </a:xfrm>
        <a:prstGeom prst="rect">
          <a:avLst/>
        </a:prstGeom>
      </xdr:spPr>
    </xdr:pic>
    <xdr:clientData/>
  </xdr:twoCellAnchor>
  <xdr:twoCellAnchor editAs="oneCell">
    <xdr:from>
      <xdr:col>8</xdr:col>
      <xdr:colOff>19051</xdr:colOff>
      <xdr:row>23</xdr:row>
      <xdr:rowOff>3175</xdr:rowOff>
    </xdr:from>
    <xdr:to>
      <xdr:col>12</xdr:col>
      <xdr:colOff>219075</xdr:colOff>
      <xdr:row>36</xdr:row>
      <xdr:rowOff>19050</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95851" y="4384675"/>
          <a:ext cx="2638424" cy="2492375"/>
        </a:xfrm>
        <a:prstGeom prst="rect">
          <a:avLst/>
        </a:prstGeom>
      </xdr:spPr>
    </xdr:pic>
    <xdr:clientData/>
  </xdr:twoCellAnchor>
  <xdr:twoCellAnchor editAs="oneCell">
    <xdr:from>
      <xdr:col>2</xdr:col>
      <xdr:colOff>47623</xdr:colOff>
      <xdr:row>40</xdr:row>
      <xdr:rowOff>9526</xdr:rowOff>
    </xdr:from>
    <xdr:to>
      <xdr:col>6</xdr:col>
      <xdr:colOff>171449</xdr:colOff>
      <xdr:row>56</xdr:row>
      <xdr:rowOff>133350</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266823" y="7629526"/>
          <a:ext cx="2562226" cy="3171824"/>
        </a:xfrm>
        <a:prstGeom prst="rect">
          <a:avLst/>
        </a:prstGeom>
      </xdr:spPr>
    </xdr:pic>
    <xdr:clientData/>
  </xdr:twoCellAnchor>
  <xdr:twoCellAnchor editAs="oneCell">
    <xdr:from>
      <xdr:col>8</xdr:col>
      <xdr:colOff>0</xdr:colOff>
      <xdr:row>40</xdr:row>
      <xdr:rowOff>1</xdr:rowOff>
    </xdr:from>
    <xdr:to>
      <xdr:col>12</xdr:col>
      <xdr:colOff>323849</xdr:colOff>
      <xdr:row>56</xdr:row>
      <xdr:rowOff>123825</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76800" y="7620001"/>
          <a:ext cx="2762249" cy="3171824"/>
        </a:xfrm>
        <a:prstGeom prst="rect">
          <a:avLst/>
        </a:prstGeom>
      </xdr:spPr>
    </xdr:pic>
    <xdr:clientData/>
  </xdr:twoCellAnchor>
  <xdr:twoCellAnchor editAs="oneCell">
    <xdr:from>
      <xdr:col>13</xdr:col>
      <xdr:colOff>588168</xdr:colOff>
      <xdr:row>23</xdr:row>
      <xdr:rowOff>0</xdr:rowOff>
    </xdr:from>
    <xdr:to>
      <xdr:col>17</xdr:col>
      <xdr:colOff>476250</xdr:colOff>
      <xdr:row>36</xdr:row>
      <xdr:rowOff>9525</xdr:rowOff>
    </xdr:to>
    <xdr:pic>
      <xdr:nvPicPr>
        <xdr:cNvPr id="6" name="Picture 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512968" y="4381500"/>
          <a:ext cx="2326482" cy="2486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19</xdr:col>
      <xdr:colOff>588818</xdr:colOff>
      <xdr:row>1</xdr:row>
      <xdr:rowOff>31172</xdr:rowOff>
    </xdr:from>
    <xdr:to>
      <xdr:col>28</xdr:col>
      <xdr:colOff>346364</xdr:colOff>
      <xdr:row>15</xdr:row>
      <xdr:rowOff>51955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17319</xdr:colOff>
      <xdr:row>21</xdr:row>
      <xdr:rowOff>187037</xdr:rowOff>
    </xdr:from>
    <xdr:to>
      <xdr:col>28</xdr:col>
      <xdr:colOff>346365</xdr:colOff>
      <xdr:row>35</xdr:row>
      <xdr:rowOff>51954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51953</xdr:colOff>
      <xdr:row>1</xdr:row>
      <xdr:rowOff>31173</xdr:rowOff>
    </xdr:from>
    <xdr:to>
      <xdr:col>37</xdr:col>
      <xdr:colOff>588817</xdr:colOff>
      <xdr:row>15</xdr:row>
      <xdr:rowOff>121229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86591</xdr:colOff>
      <xdr:row>21</xdr:row>
      <xdr:rowOff>187035</xdr:rowOff>
    </xdr:from>
    <xdr:to>
      <xdr:col>37</xdr:col>
      <xdr:colOff>588818</xdr:colOff>
      <xdr:row>34</xdr:row>
      <xdr:rowOff>173181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168804</xdr:colOff>
      <xdr:row>22</xdr:row>
      <xdr:rowOff>76729</xdr:rowOff>
    </xdr:from>
    <xdr:to>
      <xdr:col>15</xdr:col>
      <xdr:colOff>465137</xdr:colOff>
      <xdr:row>36</xdr:row>
      <xdr:rowOff>152929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195790</xdr:colOff>
      <xdr:row>37</xdr:row>
      <xdr:rowOff>30691</xdr:rowOff>
    </xdr:from>
    <xdr:to>
      <xdr:col>15</xdr:col>
      <xdr:colOff>470957</xdr:colOff>
      <xdr:row>47</xdr:row>
      <xdr:rowOff>96308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419099</xdr:colOff>
      <xdr:row>43</xdr:row>
      <xdr:rowOff>19050</xdr:rowOff>
    </xdr:from>
    <xdr:to>
      <xdr:col>12</xdr:col>
      <xdr:colOff>571499</xdr:colOff>
      <xdr:row>63</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399710</xdr:colOff>
      <xdr:row>10</xdr:row>
      <xdr:rowOff>61404</xdr:rowOff>
    </xdr:from>
    <xdr:to>
      <xdr:col>28</xdr:col>
      <xdr:colOff>66334</xdr:colOff>
      <xdr:row>24</xdr:row>
      <xdr:rowOff>178426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1266824</xdr:colOff>
      <xdr:row>27</xdr:row>
      <xdr:rowOff>190499</xdr:rowOff>
    </xdr:from>
    <xdr:to>
      <xdr:col>8</xdr:col>
      <xdr:colOff>590549</xdr:colOff>
      <xdr:row>49</xdr:row>
      <xdr:rowOff>28574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381000</xdr:colOff>
      <xdr:row>4</xdr:row>
      <xdr:rowOff>109104</xdr:rowOff>
    </xdr:from>
    <xdr:to>
      <xdr:col>28</xdr:col>
      <xdr:colOff>103909</xdr:colOff>
      <xdr:row>18</xdr:row>
      <xdr:rowOff>185304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47624</xdr:colOff>
      <xdr:row>67</xdr:row>
      <xdr:rowOff>9525</xdr:rowOff>
    </xdr:from>
    <xdr:to>
      <xdr:col>7</xdr:col>
      <xdr:colOff>942974</xdr:colOff>
      <xdr:row>88</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364530</xdr:colOff>
      <xdr:row>7</xdr:row>
      <xdr:rowOff>168513</xdr:rowOff>
    </xdr:from>
    <xdr:to>
      <xdr:col>28</xdr:col>
      <xdr:colOff>48701</xdr:colOff>
      <xdr:row>22</xdr:row>
      <xdr:rowOff>54213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9524</xdr:colOff>
      <xdr:row>23</xdr:row>
      <xdr:rowOff>114300</xdr:rowOff>
    </xdr:from>
    <xdr:to>
      <xdr:col>8</xdr:col>
      <xdr:colOff>561975</xdr:colOff>
      <xdr:row>47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231321</xdr:colOff>
      <xdr:row>3</xdr:row>
      <xdr:rowOff>145595</xdr:rowOff>
    </xdr:from>
    <xdr:to>
      <xdr:col>27</xdr:col>
      <xdr:colOff>517071</xdr:colOff>
      <xdr:row>18</xdr:row>
      <xdr:rowOff>31295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1132593</xdr:colOff>
      <xdr:row>69</xdr:row>
      <xdr:rowOff>9924</xdr:rowOff>
    </xdr:from>
    <xdr:to>
      <xdr:col>10</xdr:col>
      <xdr:colOff>569098</xdr:colOff>
      <xdr:row>92</xdr:row>
      <xdr:rowOff>34417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174625</xdr:colOff>
      <xdr:row>8</xdr:row>
      <xdr:rowOff>112712</xdr:rowOff>
    </xdr:from>
    <xdr:to>
      <xdr:col>27</xdr:col>
      <xdr:colOff>523875</xdr:colOff>
      <xdr:row>22</xdr:row>
      <xdr:rowOff>188912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657224</xdr:colOff>
      <xdr:row>38</xdr:row>
      <xdr:rowOff>180974</xdr:rowOff>
    </xdr:from>
    <xdr:to>
      <xdr:col>7</xdr:col>
      <xdr:colOff>1171574</xdr:colOff>
      <xdr:row>56</xdr:row>
      <xdr:rowOff>190499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221317</xdr:colOff>
      <xdr:row>4</xdr:row>
      <xdr:rowOff>148197</xdr:rowOff>
    </xdr:from>
    <xdr:to>
      <xdr:col>27</xdr:col>
      <xdr:colOff>479052</xdr:colOff>
      <xdr:row>18</xdr:row>
      <xdr:rowOff>145956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38099</xdr:colOff>
      <xdr:row>56</xdr:row>
      <xdr:rowOff>161924</xdr:rowOff>
    </xdr:from>
    <xdr:to>
      <xdr:col>9</xdr:col>
      <xdr:colOff>600074</xdr:colOff>
      <xdr:row>74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258534</xdr:colOff>
      <xdr:row>4</xdr:row>
      <xdr:rowOff>131990</xdr:rowOff>
    </xdr:from>
    <xdr:to>
      <xdr:col>27</xdr:col>
      <xdr:colOff>544284</xdr:colOff>
      <xdr:row>19</xdr:row>
      <xdr:rowOff>17690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1209674</xdr:colOff>
      <xdr:row>29</xdr:row>
      <xdr:rowOff>0</xdr:rowOff>
    </xdr:from>
    <xdr:to>
      <xdr:col>7</xdr:col>
      <xdr:colOff>1095374</xdr:colOff>
      <xdr:row>46</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202406</xdr:colOff>
      <xdr:row>4</xdr:row>
      <xdr:rowOff>182165</xdr:rowOff>
    </xdr:from>
    <xdr:to>
      <xdr:col>27</xdr:col>
      <xdr:colOff>523875</xdr:colOff>
      <xdr:row>19</xdr:row>
      <xdr:rowOff>67865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47624</xdr:colOff>
      <xdr:row>43</xdr:row>
      <xdr:rowOff>9525</xdr:rowOff>
    </xdr:from>
    <xdr:to>
      <xdr:col>7</xdr:col>
      <xdr:colOff>1247774</xdr:colOff>
      <xdr:row>61</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370267</xdr:colOff>
      <xdr:row>5</xdr:row>
      <xdr:rowOff>110811</xdr:rowOff>
    </xdr:from>
    <xdr:to>
      <xdr:col>28</xdr:col>
      <xdr:colOff>112689</xdr:colOff>
      <xdr:row>20</xdr:row>
      <xdr:rowOff>36758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1257300</xdr:colOff>
      <xdr:row>20</xdr:row>
      <xdr:rowOff>123825</xdr:rowOff>
    </xdr:from>
    <xdr:to>
      <xdr:col>7</xdr:col>
      <xdr:colOff>57150</xdr:colOff>
      <xdr:row>35</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161925</xdr:colOff>
      <xdr:row>5</xdr:row>
      <xdr:rowOff>128587</xdr:rowOff>
    </xdr:from>
    <xdr:to>
      <xdr:col>27</xdr:col>
      <xdr:colOff>466725</xdr:colOff>
      <xdr:row>20</xdr:row>
      <xdr:rowOff>14287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481012</xdr:colOff>
      <xdr:row>19</xdr:row>
      <xdr:rowOff>180975</xdr:rowOff>
    </xdr:from>
    <xdr:to>
      <xdr:col>7</xdr:col>
      <xdr:colOff>1243012</xdr:colOff>
      <xdr:row>34</xdr:row>
      <xdr:rowOff>66675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e1" displayName="Table1" ref="C26:F36" totalsRowShown="0">
  <autoFilter ref="C26:F36"/>
  <tableColumns count="4">
    <tableColumn id="1" name="Plot"/>
    <tableColumn id="2" name="CO₂ Sequestered (kg/year)"/>
    <tableColumn id="3" name="CO₂ Sequestered (tonnes/ha/year)"/>
    <tableColumn id="4" name="Total Adjusted AGB (Kg/plot)" dataDxfId="4">
      <calculatedColumnFormula>'Plot 1'!P42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B3:D13" totalsRowShown="0" dataDxfId="3">
  <autoFilter ref="B3:D13"/>
  <tableColumns count="3">
    <tableColumn id="1" name="plot NO" dataDxfId="2"/>
    <tableColumn id="2" name="Average Tree Condition value" dataDxfId="1"/>
    <tableColumn id="3" name="STDEV"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R58"/>
  <sheetViews>
    <sheetView zoomScale="25" zoomScaleNormal="25" workbookViewId="0">
      <selection activeCell="AF57" sqref="AF57"/>
    </sheetView>
  </sheetViews>
  <sheetFormatPr defaultRowHeight="15" x14ac:dyDescent="0.25"/>
  <sheetData>
    <row r="5" spans="1:10" x14ac:dyDescent="0.25">
      <c r="A5" s="7" t="s">
        <v>25</v>
      </c>
      <c r="B5" s="7"/>
      <c r="C5" s="7"/>
      <c r="D5" s="7"/>
      <c r="E5" s="7"/>
      <c r="F5" s="7"/>
      <c r="G5" s="7"/>
      <c r="H5" s="7"/>
      <c r="I5" s="7"/>
      <c r="J5" s="7"/>
    </row>
    <row r="6" spans="1:10" x14ac:dyDescent="0.25">
      <c r="A6" s="7"/>
      <c r="B6" s="7"/>
      <c r="C6" s="7"/>
      <c r="D6" s="7"/>
      <c r="E6" s="7"/>
      <c r="F6" s="7"/>
      <c r="G6" s="7"/>
      <c r="H6" s="7"/>
      <c r="I6" s="7"/>
      <c r="J6" s="7"/>
    </row>
    <row r="7" spans="1:10" x14ac:dyDescent="0.25">
      <c r="A7" s="7"/>
      <c r="B7" s="7" t="s">
        <v>13</v>
      </c>
      <c r="C7" s="7" t="s">
        <v>21</v>
      </c>
      <c r="D7" s="7"/>
      <c r="E7" s="7"/>
      <c r="F7" s="7"/>
      <c r="G7" s="7"/>
      <c r="H7" s="7"/>
      <c r="I7" s="7"/>
      <c r="J7" s="7"/>
    </row>
    <row r="8" spans="1:10" x14ac:dyDescent="0.25">
      <c r="A8" s="7"/>
      <c r="B8" s="7" t="s">
        <v>12</v>
      </c>
      <c r="C8" s="7" t="s">
        <v>22</v>
      </c>
      <c r="D8" s="7"/>
      <c r="E8" s="7"/>
      <c r="F8" s="7"/>
      <c r="G8" s="7"/>
      <c r="H8" s="7"/>
      <c r="I8" s="7"/>
      <c r="J8" s="7"/>
    </row>
    <row r="9" spans="1:10" x14ac:dyDescent="0.25">
      <c r="A9" s="7"/>
      <c r="B9" s="7" t="s">
        <v>14</v>
      </c>
      <c r="C9" s="7" t="s">
        <v>23</v>
      </c>
      <c r="D9" s="7"/>
      <c r="E9" s="7"/>
      <c r="F9" s="7"/>
      <c r="G9" s="7"/>
      <c r="H9" s="7"/>
      <c r="I9" s="7"/>
      <c r="J9" s="7"/>
    </row>
    <row r="10" spans="1:10" x14ac:dyDescent="0.25">
      <c r="A10" s="7"/>
      <c r="B10" s="7" t="s">
        <v>16</v>
      </c>
      <c r="C10" s="7" t="s">
        <v>24</v>
      </c>
      <c r="D10" s="7"/>
      <c r="E10" s="7"/>
      <c r="F10" s="7"/>
      <c r="G10" s="7"/>
      <c r="H10" s="7"/>
      <c r="I10" s="7"/>
      <c r="J10" s="7"/>
    </row>
    <row r="11" spans="1:10" x14ac:dyDescent="0.25">
      <c r="A11" s="7"/>
      <c r="B11" s="7"/>
      <c r="C11" s="7"/>
      <c r="D11" s="7"/>
      <c r="E11" s="7"/>
      <c r="F11" s="7"/>
      <c r="G11" s="7"/>
      <c r="H11" s="7"/>
      <c r="I11" s="7"/>
      <c r="J11" s="7"/>
    </row>
    <row r="15" spans="1:10" x14ac:dyDescent="0.25">
      <c r="A15" s="9" t="s">
        <v>26</v>
      </c>
      <c r="B15" s="9"/>
      <c r="C15" s="9"/>
      <c r="D15" s="9"/>
      <c r="E15" s="9"/>
      <c r="F15" s="9"/>
      <c r="G15" s="9"/>
      <c r="H15" s="9"/>
      <c r="I15" s="9"/>
    </row>
    <row r="16" spans="1:10" x14ac:dyDescent="0.25">
      <c r="A16" s="9"/>
      <c r="B16" s="9"/>
      <c r="C16" s="9"/>
      <c r="D16" s="9"/>
      <c r="E16" s="9"/>
      <c r="F16" s="9"/>
      <c r="G16" s="9"/>
      <c r="H16" s="9"/>
      <c r="I16" s="9"/>
    </row>
    <row r="17" spans="1:9" x14ac:dyDescent="0.25">
      <c r="A17" s="9"/>
      <c r="B17" s="9" t="s">
        <v>27</v>
      </c>
      <c r="C17" s="9"/>
      <c r="D17" s="9" t="s">
        <v>28</v>
      </c>
      <c r="E17" s="9"/>
      <c r="F17" s="9"/>
      <c r="G17" s="9" t="s">
        <v>122</v>
      </c>
      <c r="H17" s="9"/>
      <c r="I17" s="9"/>
    </row>
    <row r="18" spans="1:9" x14ac:dyDescent="0.25">
      <c r="A18" s="9"/>
      <c r="B18" s="9">
        <v>1</v>
      </c>
      <c r="C18" s="9"/>
      <c r="D18" s="34" t="s">
        <v>29</v>
      </c>
      <c r="E18" s="34"/>
      <c r="F18" s="34"/>
      <c r="G18" s="9" t="s">
        <v>139</v>
      </c>
      <c r="H18" s="9"/>
      <c r="I18" s="9"/>
    </row>
    <row r="19" spans="1:9" x14ac:dyDescent="0.25">
      <c r="A19" s="9"/>
      <c r="B19" s="9">
        <v>2</v>
      </c>
      <c r="C19" s="9"/>
      <c r="D19" s="34" t="s">
        <v>30</v>
      </c>
      <c r="E19" s="34"/>
      <c r="F19" s="34"/>
      <c r="G19" s="9" t="s">
        <v>140</v>
      </c>
      <c r="H19" s="9"/>
      <c r="I19" s="9"/>
    </row>
    <row r="20" spans="1:9" x14ac:dyDescent="0.25">
      <c r="A20" s="9"/>
      <c r="B20" s="9">
        <v>3</v>
      </c>
      <c r="C20" s="9"/>
      <c r="D20" s="34" t="s">
        <v>31</v>
      </c>
      <c r="E20" s="34"/>
      <c r="F20" s="34"/>
      <c r="G20" s="9" t="s">
        <v>141</v>
      </c>
      <c r="H20" s="9"/>
      <c r="I20" s="9"/>
    </row>
    <row r="21" spans="1:9" x14ac:dyDescent="0.25">
      <c r="A21" s="9"/>
      <c r="B21" s="9">
        <v>4</v>
      </c>
      <c r="C21" s="9"/>
      <c r="D21" s="34" t="s">
        <v>32</v>
      </c>
      <c r="E21" s="34"/>
      <c r="F21" s="34"/>
      <c r="G21" s="9" t="s">
        <v>142</v>
      </c>
      <c r="H21" s="9"/>
      <c r="I21" s="9"/>
    </row>
    <row r="22" spans="1:9" x14ac:dyDescent="0.25">
      <c r="A22" s="9"/>
      <c r="B22" s="9">
        <v>5</v>
      </c>
      <c r="C22" s="9"/>
      <c r="D22" s="34" t="s">
        <v>91</v>
      </c>
      <c r="E22" s="34"/>
      <c r="F22" s="34"/>
      <c r="G22" s="9" t="s">
        <v>167</v>
      </c>
      <c r="H22" s="9"/>
      <c r="I22" s="9"/>
    </row>
    <row r="38" spans="3:18" x14ac:dyDescent="0.25">
      <c r="C38" s="73" t="s">
        <v>143</v>
      </c>
      <c r="D38" s="73"/>
      <c r="E38" s="73"/>
      <c r="F38" s="73"/>
      <c r="I38" s="74" t="s">
        <v>144</v>
      </c>
      <c r="J38" s="74"/>
      <c r="K38" s="74"/>
      <c r="L38" s="74"/>
      <c r="O38" s="74" t="s">
        <v>147</v>
      </c>
      <c r="P38" s="74"/>
      <c r="Q38" s="74"/>
      <c r="R38" s="74"/>
    </row>
    <row r="58" spans="3:12" x14ac:dyDescent="0.25">
      <c r="C58" s="74" t="s">
        <v>145</v>
      </c>
      <c r="D58" s="74"/>
      <c r="E58" s="74"/>
      <c r="F58" s="74"/>
      <c r="I58" s="74" t="s">
        <v>146</v>
      </c>
      <c r="J58" s="74"/>
      <c r="K58" s="74"/>
      <c r="L58" s="74"/>
    </row>
  </sheetData>
  <mergeCells count="5">
    <mergeCell ref="C38:F38"/>
    <mergeCell ref="I38:L38"/>
    <mergeCell ref="C58:F58"/>
    <mergeCell ref="I58:L58"/>
    <mergeCell ref="O38:R3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118"/>
  <sheetViews>
    <sheetView topLeftCell="A29" zoomScale="25" zoomScaleNormal="25" workbookViewId="0">
      <selection activeCell="N56" sqref="N56"/>
    </sheetView>
  </sheetViews>
  <sheetFormatPr defaultRowHeight="15" x14ac:dyDescent="0.25"/>
  <cols>
    <col min="2" max="2" width="15" customWidth="1"/>
    <col min="3" max="3" width="21" customWidth="1"/>
    <col min="4" max="4" width="19.7109375" customWidth="1"/>
    <col min="5" max="5" width="19.5703125" customWidth="1"/>
  </cols>
  <sheetData>
    <row r="2" spans="2:10" ht="18" x14ac:dyDescent="0.25">
      <c r="B2" s="10" t="s">
        <v>36</v>
      </c>
      <c r="C2" s="9"/>
      <c r="D2" s="9"/>
      <c r="E2" s="9"/>
      <c r="F2" s="9"/>
      <c r="G2" s="9"/>
      <c r="H2" s="9"/>
      <c r="I2" s="9"/>
      <c r="J2" s="9"/>
    </row>
    <row r="3" spans="2:10" x14ac:dyDescent="0.25">
      <c r="B3" s="11"/>
      <c r="C3" s="9"/>
      <c r="D3" s="9"/>
      <c r="E3" s="9"/>
      <c r="F3" s="9"/>
      <c r="G3" s="9"/>
      <c r="H3" s="9"/>
      <c r="I3" s="9"/>
      <c r="J3" s="9"/>
    </row>
    <row r="4" spans="2:10" x14ac:dyDescent="0.25">
      <c r="B4" s="12" t="s">
        <v>37</v>
      </c>
      <c r="C4" s="9"/>
      <c r="D4" s="9"/>
      <c r="E4" s="9"/>
      <c r="F4" s="9"/>
      <c r="G4" s="9"/>
      <c r="H4" s="9"/>
      <c r="I4" s="9"/>
      <c r="J4" s="9"/>
    </row>
    <row r="5" spans="2:10" x14ac:dyDescent="0.25">
      <c r="B5" s="11"/>
      <c r="C5" s="9"/>
      <c r="D5" s="9"/>
      <c r="E5" s="9"/>
      <c r="F5" s="9"/>
      <c r="G5" s="9"/>
      <c r="H5" s="9"/>
      <c r="I5" s="9"/>
      <c r="J5" s="9"/>
    </row>
    <row r="6" spans="2:10" x14ac:dyDescent="0.25">
      <c r="B6" s="12" t="s">
        <v>38</v>
      </c>
      <c r="C6" s="9"/>
      <c r="D6" s="9"/>
      <c r="E6" s="9"/>
      <c r="F6" s="9"/>
      <c r="G6" s="9"/>
      <c r="H6" s="9"/>
      <c r="I6" s="9"/>
      <c r="J6" s="9"/>
    </row>
    <row r="7" spans="2:10" x14ac:dyDescent="0.25">
      <c r="B7" s="11"/>
      <c r="C7" s="9"/>
      <c r="D7" s="9"/>
      <c r="E7" s="9"/>
      <c r="F7" s="9"/>
      <c r="G7" s="9"/>
      <c r="H7" s="9"/>
      <c r="I7" s="9"/>
      <c r="J7" s="9"/>
    </row>
    <row r="8" spans="2:10" x14ac:dyDescent="0.25">
      <c r="B8" s="12" t="s">
        <v>39</v>
      </c>
      <c r="C8" s="9"/>
      <c r="D8" s="9"/>
      <c r="E8" s="9"/>
      <c r="F8" s="9"/>
      <c r="G8" s="9"/>
      <c r="H8" s="9"/>
      <c r="I8" s="9"/>
      <c r="J8" s="9"/>
    </row>
    <row r="9" spans="2:10" x14ac:dyDescent="0.25">
      <c r="B9" s="11"/>
      <c r="C9" s="9"/>
      <c r="D9" s="9"/>
      <c r="E9" s="9"/>
      <c r="F9" s="9"/>
      <c r="G9" s="9"/>
      <c r="H9" s="9"/>
      <c r="I9" s="9"/>
      <c r="J9" s="9"/>
    </row>
    <row r="10" spans="2:10" x14ac:dyDescent="0.25">
      <c r="B10" s="12" t="s">
        <v>40</v>
      </c>
      <c r="C10" s="9"/>
      <c r="D10" s="9"/>
      <c r="E10" s="9"/>
      <c r="F10" s="9"/>
      <c r="G10" s="9"/>
      <c r="H10" s="9"/>
      <c r="I10" s="9"/>
      <c r="J10" s="9"/>
    </row>
    <row r="11" spans="2:10" x14ac:dyDescent="0.25">
      <c r="B11" s="9"/>
      <c r="C11" s="9"/>
      <c r="D11" s="9"/>
      <c r="E11" s="9"/>
      <c r="F11" s="9"/>
      <c r="G11" s="9"/>
      <c r="H11" s="9"/>
      <c r="I11" s="9"/>
      <c r="J11" s="9"/>
    </row>
    <row r="12" spans="2:10" x14ac:dyDescent="0.25">
      <c r="B12" s="9"/>
      <c r="C12" s="9"/>
      <c r="D12" s="9"/>
      <c r="E12" s="9"/>
      <c r="F12" s="9"/>
      <c r="G12" s="9"/>
      <c r="H12" s="9"/>
      <c r="I12" s="9"/>
      <c r="J12" s="9"/>
    </row>
    <row r="14" spans="2:10" ht="18" x14ac:dyDescent="0.25">
      <c r="B14" s="10" t="s">
        <v>41</v>
      </c>
      <c r="C14" s="9"/>
      <c r="D14" s="9"/>
      <c r="E14" s="9"/>
    </row>
    <row r="15" spans="2:10" x14ac:dyDescent="0.25">
      <c r="B15" s="9"/>
      <c r="C15" s="9"/>
      <c r="D15" s="9"/>
      <c r="E15" s="9"/>
    </row>
    <row r="16" spans="2:10" x14ac:dyDescent="0.25">
      <c r="B16" s="9" t="s">
        <v>42</v>
      </c>
      <c r="C16" s="9"/>
      <c r="D16" s="9"/>
      <c r="E16" s="9"/>
    </row>
    <row r="17" spans="2:7" x14ac:dyDescent="0.25">
      <c r="B17" s="13"/>
      <c r="C17" s="9"/>
      <c r="D17" s="9"/>
      <c r="E17" s="9"/>
    </row>
    <row r="18" spans="2:7" x14ac:dyDescent="0.25">
      <c r="B18" s="14"/>
      <c r="C18" s="9"/>
      <c r="D18" s="9"/>
      <c r="E18" s="9"/>
    </row>
    <row r="19" spans="2:7" x14ac:dyDescent="0.25">
      <c r="B19" s="14"/>
      <c r="C19" s="9"/>
      <c r="D19" s="9"/>
      <c r="E19" s="9"/>
    </row>
    <row r="20" spans="2:7" x14ac:dyDescent="0.25">
      <c r="B20" s="14" t="s">
        <v>43</v>
      </c>
      <c r="C20" s="9"/>
      <c r="D20" s="9"/>
      <c r="E20" s="9"/>
    </row>
    <row r="21" spans="2:7" x14ac:dyDescent="0.25">
      <c r="B21" s="9"/>
      <c r="C21" s="9"/>
      <c r="D21" s="9"/>
      <c r="E21" s="9"/>
    </row>
    <row r="22" spans="2:7" x14ac:dyDescent="0.25">
      <c r="B22" s="9" t="s">
        <v>44</v>
      </c>
      <c r="C22" s="9"/>
      <c r="D22" s="9"/>
      <c r="E22" s="9"/>
    </row>
    <row r="23" spans="2:7" x14ac:dyDescent="0.25">
      <c r="B23" s="13"/>
      <c r="C23" s="9"/>
      <c r="D23" s="9"/>
      <c r="E23" s="9"/>
    </row>
    <row r="24" spans="2:7" x14ac:dyDescent="0.25">
      <c r="B24" s="14"/>
      <c r="C24" s="9"/>
      <c r="D24" s="9"/>
      <c r="E24" s="9"/>
    </row>
    <row r="25" spans="2:7" x14ac:dyDescent="0.25">
      <c r="B25" s="14"/>
      <c r="C25" s="9"/>
      <c r="D25" s="9"/>
      <c r="E25" s="9"/>
    </row>
    <row r="26" spans="2:7" x14ac:dyDescent="0.25">
      <c r="B26" s="14" t="s">
        <v>45</v>
      </c>
      <c r="C26" s="9"/>
      <c r="D26" s="9"/>
      <c r="E26" s="9"/>
    </row>
    <row r="27" spans="2:7" x14ac:dyDescent="0.25">
      <c r="B27" s="9"/>
      <c r="C27" s="9"/>
      <c r="D27" s="9"/>
      <c r="E27" s="9"/>
    </row>
    <row r="28" spans="2:7" ht="15.75" x14ac:dyDescent="0.3">
      <c r="B28" s="9" t="s">
        <v>46</v>
      </c>
      <c r="C28" s="9"/>
      <c r="D28" s="9"/>
      <c r="E28" s="9"/>
    </row>
    <row r="29" spans="2:7" x14ac:dyDescent="0.25">
      <c r="B29" s="9"/>
      <c r="C29" s="9"/>
      <c r="D29" s="9"/>
      <c r="E29" s="9"/>
    </row>
    <row r="30" spans="2:7" x14ac:dyDescent="0.25">
      <c r="B30" s="9"/>
      <c r="C30" s="9"/>
      <c r="D30" s="9"/>
      <c r="E30" s="9"/>
    </row>
    <row r="32" spans="2:7" ht="18" x14ac:dyDescent="0.25">
      <c r="B32" s="10" t="s">
        <v>47</v>
      </c>
      <c r="C32" s="9"/>
      <c r="D32" s="9"/>
      <c r="E32" s="9"/>
      <c r="F32" s="9"/>
      <c r="G32" s="9"/>
    </row>
    <row r="33" spans="2:7" x14ac:dyDescent="0.25">
      <c r="B33" s="9"/>
      <c r="C33" s="9"/>
      <c r="D33" s="9"/>
      <c r="E33" s="9"/>
      <c r="F33" s="9"/>
      <c r="G33" s="9"/>
    </row>
    <row r="34" spans="2:7" x14ac:dyDescent="0.25">
      <c r="B34" s="9" t="s">
        <v>48</v>
      </c>
      <c r="C34" s="9"/>
      <c r="D34" s="9"/>
      <c r="E34" s="9"/>
      <c r="F34" s="9"/>
      <c r="G34" s="9"/>
    </row>
    <row r="35" spans="2:7" x14ac:dyDescent="0.25">
      <c r="B35" s="9"/>
      <c r="C35" s="9"/>
      <c r="D35" s="9"/>
      <c r="E35" s="9"/>
      <c r="F35" s="9"/>
      <c r="G35" s="9"/>
    </row>
    <row r="36" spans="2:7" x14ac:dyDescent="0.25">
      <c r="B36" s="15" t="s">
        <v>49</v>
      </c>
      <c r="C36" s="9"/>
      <c r="D36" s="9"/>
      <c r="E36" s="9"/>
      <c r="F36" s="9"/>
      <c r="G36" s="9"/>
    </row>
    <row r="37" spans="2:7" x14ac:dyDescent="0.25">
      <c r="B37" s="13"/>
      <c r="C37" s="9"/>
      <c r="D37" s="9"/>
      <c r="E37" s="9"/>
      <c r="F37" s="9"/>
      <c r="G37" s="9"/>
    </row>
    <row r="38" spans="2:7" x14ac:dyDescent="0.25">
      <c r="B38" s="14"/>
      <c r="C38" s="9"/>
      <c r="D38" s="9"/>
      <c r="E38" s="9"/>
      <c r="F38" s="9"/>
      <c r="G38" s="9"/>
    </row>
    <row r="39" spans="2:7" x14ac:dyDescent="0.25">
      <c r="B39" s="14"/>
      <c r="C39" s="9"/>
      <c r="D39" s="9"/>
      <c r="E39" s="9"/>
      <c r="F39" s="9"/>
      <c r="G39" s="9"/>
    </row>
    <row r="40" spans="2:7" x14ac:dyDescent="0.25">
      <c r="B40" s="14" t="s">
        <v>50</v>
      </c>
      <c r="C40" s="9"/>
      <c r="D40" s="9"/>
      <c r="E40" s="9"/>
      <c r="F40" s="9"/>
      <c r="G40" s="9"/>
    </row>
    <row r="41" spans="2:7" x14ac:dyDescent="0.25">
      <c r="B41" s="9"/>
      <c r="C41" s="9"/>
      <c r="D41" s="9"/>
      <c r="E41" s="9"/>
      <c r="F41" s="9"/>
      <c r="G41" s="9"/>
    </row>
    <row r="42" spans="2:7" x14ac:dyDescent="0.25">
      <c r="B42" s="9" t="s">
        <v>51</v>
      </c>
      <c r="C42" s="9"/>
      <c r="D42" s="9"/>
      <c r="E42" s="9"/>
      <c r="F42" s="9"/>
      <c r="G42" s="9"/>
    </row>
    <row r="43" spans="2:7" x14ac:dyDescent="0.25">
      <c r="B43" s="11"/>
      <c r="C43" s="9"/>
      <c r="D43" s="9"/>
      <c r="E43" s="9"/>
      <c r="F43" s="9"/>
      <c r="G43" s="9"/>
    </row>
    <row r="44" spans="2:7" x14ac:dyDescent="0.25">
      <c r="B44" s="12" t="s">
        <v>52</v>
      </c>
      <c r="C44" s="9"/>
      <c r="D44" s="9"/>
      <c r="E44" s="9"/>
      <c r="F44" s="9"/>
      <c r="G44" s="9"/>
    </row>
    <row r="45" spans="2:7" x14ac:dyDescent="0.25">
      <c r="B45" s="11"/>
      <c r="C45" s="9"/>
      <c r="D45" s="9"/>
      <c r="E45" s="9"/>
      <c r="F45" s="9"/>
      <c r="G45" s="9"/>
    </row>
    <row r="46" spans="2:7" x14ac:dyDescent="0.25">
      <c r="B46" s="12" t="s">
        <v>53</v>
      </c>
      <c r="C46" s="9"/>
      <c r="D46" s="9"/>
      <c r="E46" s="9"/>
      <c r="F46" s="9"/>
      <c r="G46" s="9"/>
    </row>
    <row r="47" spans="2:7" x14ac:dyDescent="0.25">
      <c r="B47" s="11"/>
      <c r="C47" s="9"/>
      <c r="D47" s="9"/>
      <c r="E47" s="9"/>
      <c r="F47" s="9"/>
      <c r="G47" s="9"/>
    </row>
    <row r="48" spans="2:7" x14ac:dyDescent="0.25">
      <c r="B48" s="12" t="s">
        <v>54</v>
      </c>
      <c r="C48" s="9"/>
      <c r="D48" s="9"/>
      <c r="E48" s="9"/>
      <c r="F48" s="9"/>
      <c r="G48" s="9"/>
    </row>
    <row r="49" spans="2:7" x14ac:dyDescent="0.25">
      <c r="B49" s="9"/>
      <c r="C49" s="9"/>
      <c r="D49" s="9"/>
      <c r="E49" s="9"/>
      <c r="F49" s="9"/>
      <c r="G49" s="9"/>
    </row>
    <row r="50" spans="2:7" x14ac:dyDescent="0.25">
      <c r="B50" s="9" t="s">
        <v>55</v>
      </c>
      <c r="C50" s="9"/>
      <c r="D50" s="9"/>
      <c r="E50" s="9"/>
      <c r="F50" s="9"/>
      <c r="G50" s="9"/>
    </row>
    <row r="51" spans="2:7" x14ac:dyDescent="0.25">
      <c r="B51" s="9"/>
      <c r="C51" s="9"/>
      <c r="D51" s="9"/>
      <c r="E51" s="9"/>
      <c r="F51" s="9"/>
      <c r="G51" s="9"/>
    </row>
    <row r="52" spans="2:7" x14ac:dyDescent="0.25">
      <c r="B52" s="9"/>
      <c r="C52" s="9"/>
      <c r="D52" s="9"/>
      <c r="E52" s="9"/>
      <c r="F52" s="9"/>
      <c r="G52" s="9"/>
    </row>
    <row r="54" spans="2:7" ht="18" x14ac:dyDescent="0.25">
      <c r="B54" s="10" t="s">
        <v>56</v>
      </c>
      <c r="C54" s="9"/>
      <c r="D54" s="9"/>
      <c r="E54" s="9"/>
    </row>
    <row r="55" spans="2:7" x14ac:dyDescent="0.25">
      <c r="B55" s="9"/>
      <c r="C55" s="9"/>
      <c r="D55" s="9"/>
      <c r="E55" s="9"/>
    </row>
    <row r="56" spans="2:7" ht="15.75" x14ac:dyDescent="0.25">
      <c r="B56" s="16" t="s">
        <v>57</v>
      </c>
      <c r="C56" s="9"/>
      <c r="D56" s="9"/>
      <c r="E56" s="9"/>
    </row>
    <row r="57" spans="2:7" x14ac:dyDescent="0.25">
      <c r="B57" s="11"/>
      <c r="C57" s="9"/>
      <c r="D57" s="9"/>
      <c r="E57" s="9"/>
    </row>
    <row r="58" spans="2:7" x14ac:dyDescent="0.25">
      <c r="B58" s="12" t="s">
        <v>58</v>
      </c>
      <c r="C58" s="9"/>
      <c r="D58" s="9"/>
      <c r="E58" s="9"/>
    </row>
    <row r="59" spans="2:7" x14ac:dyDescent="0.25">
      <c r="B59" s="9"/>
      <c r="C59" s="9"/>
      <c r="D59" s="9"/>
      <c r="E59" s="9"/>
    </row>
    <row r="60" spans="2:7" ht="15.75" x14ac:dyDescent="0.25">
      <c r="B60" s="16" t="s">
        <v>59</v>
      </c>
      <c r="C60" s="9"/>
      <c r="D60" s="9"/>
      <c r="E60" s="9"/>
    </row>
    <row r="61" spans="2:7" x14ac:dyDescent="0.25">
      <c r="B61" s="9"/>
      <c r="C61" s="9"/>
      <c r="D61" s="9"/>
      <c r="E61" s="9"/>
    </row>
    <row r="62" spans="2:7" x14ac:dyDescent="0.25">
      <c r="B62" s="9" t="s">
        <v>60</v>
      </c>
      <c r="C62" s="9"/>
      <c r="D62" s="9"/>
      <c r="E62" s="9"/>
    </row>
    <row r="63" spans="2:7" x14ac:dyDescent="0.25">
      <c r="B63" s="11"/>
      <c r="C63" s="9"/>
      <c r="D63" s="9"/>
      <c r="E63" s="9"/>
    </row>
    <row r="64" spans="2:7" x14ac:dyDescent="0.25">
      <c r="B64" s="11" t="s">
        <v>75</v>
      </c>
      <c r="C64" s="9"/>
      <c r="D64" s="9"/>
      <c r="E64" s="9"/>
    </row>
    <row r="65" spans="2:5" x14ac:dyDescent="0.25">
      <c r="B65" s="11"/>
      <c r="C65" s="9"/>
      <c r="D65" s="9"/>
      <c r="E65" s="9"/>
    </row>
    <row r="66" spans="2:5" x14ac:dyDescent="0.25">
      <c r="B66" s="11" t="s">
        <v>76</v>
      </c>
      <c r="C66" s="9"/>
      <c r="D66" s="9"/>
      <c r="E66" s="9"/>
    </row>
    <row r="67" spans="2:5" x14ac:dyDescent="0.25">
      <c r="B67" s="11"/>
      <c r="C67" s="9"/>
      <c r="D67" s="9"/>
      <c r="E67" s="9"/>
    </row>
    <row r="68" spans="2:5" x14ac:dyDescent="0.25">
      <c r="B68" s="11" t="s">
        <v>77</v>
      </c>
      <c r="C68" s="9"/>
      <c r="D68" s="9"/>
      <c r="E68" s="9"/>
    </row>
    <row r="69" spans="2:5" x14ac:dyDescent="0.25">
      <c r="B69" s="11"/>
      <c r="C69" s="9"/>
      <c r="D69" s="9"/>
      <c r="E69" s="9"/>
    </row>
    <row r="70" spans="2:5" x14ac:dyDescent="0.25">
      <c r="B70" s="11" t="s">
        <v>78</v>
      </c>
      <c r="C70" s="9"/>
      <c r="D70" s="9"/>
      <c r="E70" s="9"/>
    </row>
    <row r="71" spans="2:5" x14ac:dyDescent="0.25">
      <c r="B71" s="9"/>
      <c r="C71" s="9"/>
      <c r="D71" s="9"/>
      <c r="E71" s="9"/>
    </row>
    <row r="72" spans="2:5" x14ac:dyDescent="0.25">
      <c r="B72" s="9" t="s">
        <v>61</v>
      </c>
      <c r="C72" s="9"/>
      <c r="D72" s="9"/>
      <c r="E72" s="9"/>
    </row>
    <row r="73" spans="2:5" x14ac:dyDescent="0.25">
      <c r="B73" s="13"/>
      <c r="C73" s="9"/>
      <c r="D73" s="9"/>
      <c r="E73" s="9"/>
    </row>
    <row r="74" spans="2:5" x14ac:dyDescent="0.25">
      <c r="B74" s="14"/>
      <c r="C74" s="9"/>
      <c r="D74" s="9"/>
      <c r="E74" s="9"/>
    </row>
    <row r="75" spans="2:5" x14ac:dyDescent="0.25">
      <c r="B75" s="14"/>
      <c r="C75" s="9"/>
      <c r="D75" s="9"/>
      <c r="E75" s="9"/>
    </row>
    <row r="76" spans="2:5" x14ac:dyDescent="0.25">
      <c r="B76" s="14" t="s">
        <v>62</v>
      </c>
      <c r="C76" s="9"/>
      <c r="D76" s="9"/>
      <c r="E76" s="9"/>
    </row>
    <row r="77" spans="2:5" x14ac:dyDescent="0.25">
      <c r="B77" s="9"/>
      <c r="C77" s="9"/>
      <c r="D77" s="9"/>
      <c r="E77" s="9"/>
    </row>
    <row r="78" spans="2:5" x14ac:dyDescent="0.25">
      <c r="B78" s="9"/>
      <c r="C78" s="9"/>
      <c r="D78" s="9"/>
      <c r="E78" s="9"/>
    </row>
    <row r="79" spans="2:5" x14ac:dyDescent="0.25">
      <c r="B79" s="9"/>
      <c r="C79" s="9"/>
      <c r="D79" s="9"/>
      <c r="E79" s="9"/>
    </row>
    <row r="80" spans="2:5" ht="18" x14ac:dyDescent="0.25">
      <c r="B80" s="10" t="s">
        <v>63</v>
      </c>
      <c r="C80" s="9"/>
      <c r="D80" s="9"/>
      <c r="E80" s="9"/>
    </row>
    <row r="81" spans="2:5" x14ac:dyDescent="0.25">
      <c r="B81" s="9"/>
      <c r="C81" s="9"/>
      <c r="D81" s="9"/>
      <c r="E81" s="9"/>
    </row>
    <row r="82" spans="2:5" x14ac:dyDescent="0.25">
      <c r="B82" s="9" t="s">
        <v>64</v>
      </c>
      <c r="C82" s="9"/>
      <c r="D82" s="9"/>
      <c r="E82" s="9"/>
    </row>
    <row r="83" spans="2:5" x14ac:dyDescent="0.25">
      <c r="B83" s="11"/>
      <c r="C83" s="9"/>
      <c r="D83" s="9"/>
      <c r="E83" s="9"/>
    </row>
    <row r="84" spans="2:5" x14ac:dyDescent="0.25">
      <c r="B84" s="11" t="s">
        <v>65</v>
      </c>
      <c r="C84" s="9"/>
      <c r="D84" s="9"/>
      <c r="E84" s="9"/>
    </row>
    <row r="85" spans="2:5" x14ac:dyDescent="0.25">
      <c r="B85" s="11"/>
      <c r="C85" s="9"/>
      <c r="D85" s="9"/>
      <c r="E85" s="9"/>
    </row>
    <row r="86" spans="2:5" x14ac:dyDescent="0.25">
      <c r="B86" s="11" t="s">
        <v>66</v>
      </c>
      <c r="C86" s="9"/>
      <c r="D86" s="9"/>
      <c r="E86" s="9"/>
    </row>
    <row r="87" spans="2:5" x14ac:dyDescent="0.25">
      <c r="B87" s="11"/>
      <c r="C87" s="9"/>
      <c r="D87" s="9"/>
      <c r="E87" s="9"/>
    </row>
    <row r="88" spans="2:5" x14ac:dyDescent="0.25">
      <c r="B88" s="11" t="s">
        <v>67</v>
      </c>
      <c r="C88" s="9"/>
      <c r="D88" s="9"/>
      <c r="E88" s="9"/>
    </row>
    <row r="89" spans="2:5" x14ac:dyDescent="0.25">
      <c r="B89" s="11"/>
      <c r="C89" s="9"/>
      <c r="D89" s="9"/>
      <c r="E89" s="9"/>
    </row>
    <row r="90" spans="2:5" x14ac:dyDescent="0.25">
      <c r="B90" s="11" t="s">
        <v>68</v>
      </c>
      <c r="C90" s="9"/>
      <c r="D90" s="9"/>
      <c r="E90" s="9"/>
    </row>
    <row r="91" spans="2:5" x14ac:dyDescent="0.25">
      <c r="B91" s="13"/>
      <c r="C91" s="9"/>
      <c r="D91" s="9"/>
      <c r="E91" s="9"/>
    </row>
    <row r="92" spans="2:5" x14ac:dyDescent="0.25">
      <c r="B92" s="14"/>
      <c r="C92" s="9"/>
      <c r="D92" s="9"/>
      <c r="E92" s="9"/>
    </row>
    <row r="93" spans="2:5" x14ac:dyDescent="0.25">
      <c r="B93" s="14"/>
      <c r="C93" s="9"/>
      <c r="D93" s="9"/>
      <c r="E93" s="9"/>
    </row>
    <row r="94" spans="2:5" x14ac:dyDescent="0.25">
      <c r="B94" s="14" t="s">
        <v>69</v>
      </c>
      <c r="C94" s="9"/>
      <c r="D94" s="9"/>
      <c r="E94" s="9"/>
    </row>
    <row r="95" spans="2:5" x14ac:dyDescent="0.25">
      <c r="B95" s="14" t="s">
        <v>70</v>
      </c>
      <c r="C95" s="9"/>
      <c r="D95" s="9"/>
      <c r="E95" s="9"/>
    </row>
    <row r="96" spans="2:5" x14ac:dyDescent="0.25">
      <c r="B96" s="14" t="s">
        <v>71</v>
      </c>
      <c r="C96" s="9"/>
      <c r="D96" s="9"/>
      <c r="E96" s="9"/>
    </row>
    <row r="97" spans="2:7" x14ac:dyDescent="0.25">
      <c r="B97" s="14" t="s">
        <v>72</v>
      </c>
      <c r="C97" s="9"/>
      <c r="D97" s="9"/>
      <c r="E97" s="9"/>
    </row>
    <row r="98" spans="2:7" x14ac:dyDescent="0.25">
      <c r="B98" s="14" t="s">
        <v>73</v>
      </c>
      <c r="C98" s="9"/>
      <c r="D98" s="9"/>
      <c r="E98" s="9"/>
    </row>
    <row r="99" spans="2:7" x14ac:dyDescent="0.25">
      <c r="B99" s="13"/>
      <c r="C99" s="9"/>
      <c r="D99" s="9"/>
      <c r="E99" s="9"/>
    </row>
    <row r="100" spans="2:7" x14ac:dyDescent="0.25">
      <c r="B100" s="14" t="s">
        <v>74</v>
      </c>
      <c r="C100" s="9"/>
      <c r="D100" s="9"/>
      <c r="E100" s="9"/>
    </row>
    <row r="101" spans="2:7" x14ac:dyDescent="0.25">
      <c r="B101" s="9"/>
      <c r="C101" s="9"/>
      <c r="D101" s="9"/>
      <c r="E101" s="9"/>
    </row>
    <row r="102" spans="2:7" x14ac:dyDescent="0.25">
      <c r="B102" s="9"/>
      <c r="C102" s="9"/>
      <c r="D102" s="9"/>
      <c r="E102" s="9"/>
    </row>
    <row r="103" spans="2:7" x14ac:dyDescent="0.25">
      <c r="B103" s="9"/>
      <c r="C103" s="9"/>
      <c r="D103" s="9"/>
      <c r="E103" s="9"/>
    </row>
    <row r="104" spans="2:7" x14ac:dyDescent="0.25">
      <c r="B104" s="9"/>
      <c r="C104" s="9"/>
      <c r="D104" s="9"/>
      <c r="E104" s="9"/>
    </row>
    <row r="105" spans="2:7" x14ac:dyDescent="0.25">
      <c r="B105" s="9"/>
      <c r="C105" s="9"/>
      <c r="D105" s="9"/>
      <c r="E105" s="9"/>
    </row>
    <row r="106" spans="2:7" x14ac:dyDescent="0.25">
      <c r="B106" s="9"/>
      <c r="C106" s="9"/>
      <c r="D106" s="9"/>
      <c r="E106" s="9"/>
    </row>
    <row r="108" spans="2:7" ht="18" x14ac:dyDescent="0.25">
      <c r="B108" s="10" t="s">
        <v>89</v>
      </c>
      <c r="C108" s="9"/>
      <c r="D108" s="9"/>
      <c r="E108" s="9"/>
      <c r="F108" s="9"/>
      <c r="G108" s="9"/>
    </row>
    <row r="109" spans="2:7" x14ac:dyDescent="0.25">
      <c r="B109" s="9"/>
      <c r="C109" s="9"/>
      <c r="D109" s="9"/>
      <c r="E109" s="9"/>
      <c r="F109" s="9"/>
      <c r="G109" s="9"/>
    </row>
    <row r="110" spans="2:7" x14ac:dyDescent="0.25">
      <c r="B110" s="9" t="s">
        <v>90</v>
      </c>
      <c r="C110" s="9"/>
      <c r="D110" s="9"/>
      <c r="E110" s="9"/>
      <c r="F110" s="9"/>
      <c r="G110" s="9"/>
    </row>
    <row r="111" spans="2:7" ht="30" x14ac:dyDescent="0.25">
      <c r="B111" s="9"/>
      <c r="C111" s="17" t="s">
        <v>81</v>
      </c>
      <c r="D111" s="17" t="s">
        <v>82</v>
      </c>
      <c r="E111" s="17" t="s">
        <v>3</v>
      </c>
      <c r="F111" s="17" t="s">
        <v>83</v>
      </c>
      <c r="G111" s="9"/>
    </row>
    <row r="112" spans="2:7" ht="30" x14ac:dyDescent="0.25">
      <c r="B112" s="9"/>
      <c r="C112" s="18">
        <v>1</v>
      </c>
      <c r="D112" s="18" t="s">
        <v>29</v>
      </c>
      <c r="E112" s="19" t="s">
        <v>84</v>
      </c>
      <c r="F112" s="18">
        <v>0.7</v>
      </c>
      <c r="G112" s="9"/>
    </row>
    <row r="113" spans="2:7" x14ac:dyDescent="0.25">
      <c r="B113" s="9"/>
      <c r="C113" s="18">
        <v>2</v>
      </c>
      <c r="D113" s="18" t="s">
        <v>85</v>
      </c>
      <c r="E113" s="19" t="s">
        <v>85</v>
      </c>
      <c r="F113" s="18">
        <v>0.57999999999999996</v>
      </c>
      <c r="G113" s="9"/>
    </row>
    <row r="114" spans="2:7" x14ac:dyDescent="0.25">
      <c r="B114" s="9"/>
      <c r="C114" s="18">
        <v>3</v>
      </c>
      <c r="D114" s="18" t="s">
        <v>86</v>
      </c>
      <c r="E114" s="19" t="s">
        <v>86</v>
      </c>
      <c r="F114" s="18">
        <v>0.62</v>
      </c>
      <c r="G114" s="9"/>
    </row>
    <row r="115" spans="2:7" ht="30" x14ac:dyDescent="0.25">
      <c r="B115" s="9"/>
      <c r="C115" s="18">
        <v>4</v>
      </c>
      <c r="D115" s="18" t="s">
        <v>87</v>
      </c>
      <c r="E115" s="19" t="s">
        <v>87</v>
      </c>
      <c r="F115" s="18">
        <v>0.45</v>
      </c>
      <c r="G115" s="9"/>
    </row>
    <row r="116" spans="2:7" ht="30" x14ac:dyDescent="0.25">
      <c r="B116" s="9"/>
      <c r="C116" s="18">
        <v>5</v>
      </c>
      <c r="D116" s="18" t="s">
        <v>88</v>
      </c>
      <c r="E116" s="19" t="s">
        <v>88</v>
      </c>
      <c r="F116" s="18">
        <v>0.55000000000000004</v>
      </c>
      <c r="G116" s="9"/>
    </row>
    <row r="117" spans="2:7" x14ac:dyDescent="0.25">
      <c r="B117" s="9"/>
      <c r="C117" s="9"/>
      <c r="D117" s="9"/>
      <c r="E117" s="9"/>
      <c r="F117" s="9"/>
      <c r="G117" s="9"/>
    </row>
    <row r="118" spans="2:7" x14ac:dyDescent="0.25">
      <c r="B118" s="9"/>
      <c r="C118" s="9"/>
      <c r="D118" s="9"/>
      <c r="E118" s="9"/>
      <c r="F118" s="9"/>
      <c r="G118" s="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O48"/>
  <sheetViews>
    <sheetView topLeftCell="A22" zoomScale="70" zoomScaleNormal="70" workbookViewId="0">
      <selection activeCell="C51" sqref="C51"/>
    </sheetView>
  </sheetViews>
  <sheetFormatPr defaultRowHeight="15" x14ac:dyDescent="0.25"/>
  <cols>
    <col min="2" max="2" width="31.7109375" customWidth="1"/>
    <col min="3" max="3" width="33.7109375" customWidth="1"/>
  </cols>
  <sheetData>
    <row r="5" spans="2:15" ht="18" x14ac:dyDescent="0.25">
      <c r="B5" s="28" t="s">
        <v>92</v>
      </c>
      <c r="C5" s="7"/>
      <c r="D5" s="7"/>
      <c r="E5" s="7"/>
      <c r="F5" s="7"/>
      <c r="G5" s="7"/>
      <c r="H5" s="7"/>
      <c r="I5" s="7"/>
      <c r="J5" s="7"/>
      <c r="K5" s="7"/>
      <c r="L5" s="7"/>
      <c r="M5" s="7"/>
      <c r="N5" s="7"/>
      <c r="O5" s="7"/>
    </row>
    <row r="6" spans="2:15" x14ac:dyDescent="0.25">
      <c r="B6" s="7"/>
      <c r="C6" s="7"/>
      <c r="D6" s="7"/>
      <c r="E6" s="7"/>
      <c r="F6" s="7"/>
      <c r="G6" s="7"/>
      <c r="H6" s="7"/>
      <c r="I6" s="7"/>
      <c r="J6" s="7"/>
      <c r="K6" s="7"/>
      <c r="L6" s="7"/>
      <c r="M6" s="7"/>
      <c r="N6" s="7"/>
      <c r="O6" s="7"/>
    </row>
    <row r="7" spans="2:15" x14ac:dyDescent="0.25">
      <c r="B7" s="7" t="s">
        <v>93</v>
      </c>
      <c r="C7" s="7"/>
      <c r="D7" s="7"/>
      <c r="E7" s="7"/>
      <c r="F7" s="7"/>
      <c r="G7" s="7"/>
      <c r="H7" s="7"/>
      <c r="I7" s="7"/>
      <c r="J7" s="7"/>
      <c r="K7" s="7"/>
      <c r="L7" s="7"/>
      <c r="M7" s="7"/>
      <c r="N7" s="7"/>
      <c r="O7" s="7"/>
    </row>
    <row r="8" spans="2:15" x14ac:dyDescent="0.25">
      <c r="B8" s="29"/>
      <c r="C8" s="7"/>
      <c r="D8" s="7"/>
      <c r="E8" s="7"/>
      <c r="F8" s="7"/>
      <c r="G8" s="7"/>
      <c r="H8" s="7"/>
      <c r="I8" s="7"/>
      <c r="J8" s="7"/>
      <c r="K8" s="7"/>
      <c r="L8" s="7"/>
      <c r="M8" s="7"/>
      <c r="N8" s="7"/>
      <c r="O8" s="7"/>
    </row>
    <row r="9" spans="2:15" x14ac:dyDescent="0.25">
      <c r="B9" s="29" t="s">
        <v>94</v>
      </c>
      <c r="C9" s="7"/>
      <c r="D9" s="7"/>
      <c r="E9" s="7"/>
      <c r="F9" s="7"/>
      <c r="G9" s="7"/>
      <c r="H9" s="7"/>
      <c r="I9" s="7"/>
      <c r="J9" s="7"/>
      <c r="K9" s="7"/>
      <c r="L9" s="7"/>
      <c r="M9" s="7"/>
      <c r="N9" s="7"/>
      <c r="O9" s="7"/>
    </row>
    <row r="10" spans="2:15" x14ac:dyDescent="0.25">
      <c r="B10" s="30" t="s">
        <v>95</v>
      </c>
      <c r="C10" s="7"/>
      <c r="D10" s="7"/>
      <c r="E10" s="7"/>
      <c r="F10" s="7"/>
      <c r="G10" s="7"/>
      <c r="H10" s="7"/>
      <c r="I10" s="7"/>
      <c r="J10" s="7"/>
      <c r="K10" s="7"/>
      <c r="L10" s="7"/>
      <c r="M10" s="7"/>
      <c r="N10" s="7"/>
      <c r="O10" s="7"/>
    </row>
    <row r="11" spans="2:15" x14ac:dyDescent="0.25">
      <c r="B11" s="7"/>
      <c r="C11" s="7"/>
      <c r="D11" s="7"/>
      <c r="E11" s="7"/>
      <c r="F11" s="7"/>
      <c r="G11" s="7"/>
      <c r="H11" s="7"/>
      <c r="I11" s="7"/>
      <c r="J11" s="7"/>
      <c r="K11" s="7"/>
      <c r="L11" s="7"/>
      <c r="M11" s="7"/>
      <c r="N11" s="7"/>
      <c r="O11" s="7"/>
    </row>
    <row r="12" spans="2:15" x14ac:dyDescent="0.25">
      <c r="B12" s="7" t="s">
        <v>96</v>
      </c>
      <c r="C12" s="7"/>
      <c r="D12" s="7"/>
      <c r="E12" s="7"/>
      <c r="F12" s="7"/>
      <c r="G12" s="7"/>
      <c r="H12" s="7"/>
      <c r="I12" s="7"/>
      <c r="J12" s="7"/>
      <c r="K12" s="7"/>
      <c r="L12" s="7"/>
      <c r="M12" s="7"/>
      <c r="N12" s="7"/>
      <c r="O12" s="7"/>
    </row>
    <row r="13" spans="2:15" x14ac:dyDescent="0.25">
      <c r="B13" s="7"/>
      <c r="C13" s="7"/>
      <c r="D13" s="7"/>
      <c r="E13" s="7"/>
      <c r="F13" s="7"/>
      <c r="G13" s="7"/>
      <c r="H13" s="7"/>
      <c r="I13" s="7"/>
      <c r="J13" s="7"/>
      <c r="K13" s="7"/>
      <c r="L13" s="7"/>
      <c r="M13" s="7"/>
      <c r="N13" s="7"/>
      <c r="O13" s="7"/>
    </row>
    <row r="14" spans="2:15" x14ac:dyDescent="0.25">
      <c r="B14" s="31" t="s">
        <v>97</v>
      </c>
      <c r="C14" s="7"/>
      <c r="D14" s="7"/>
      <c r="E14" s="7"/>
      <c r="F14" s="7"/>
      <c r="G14" s="7"/>
      <c r="H14" s="7"/>
      <c r="I14" s="7"/>
      <c r="J14" s="7"/>
      <c r="K14" s="7"/>
      <c r="L14" s="7"/>
      <c r="M14" s="7"/>
      <c r="N14" s="7"/>
      <c r="O14" s="7"/>
    </row>
    <row r="15" spans="2:15" x14ac:dyDescent="0.25">
      <c r="B15" s="31" t="s">
        <v>98</v>
      </c>
      <c r="C15" s="7"/>
      <c r="D15" s="7"/>
      <c r="E15" s="7"/>
      <c r="F15" s="7"/>
      <c r="G15" s="7"/>
      <c r="H15" s="7"/>
      <c r="I15" s="7"/>
      <c r="J15" s="7"/>
      <c r="K15" s="7"/>
      <c r="L15" s="7"/>
      <c r="M15" s="7"/>
      <c r="N15" s="7"/>
      <c r="O15" s="7"/>
    </row>
    <row r="16" spans="2:15" x14ac:dyDescent="0.25">
      <c r="B16" s="7"/>
      <c r="C16" s="7"/>
      <c r="D16" s="7"/>
      <c r="E16" s="7"/>
      <c r="F16" s="7"/>
      <c r="G16" s="7"/>
      <c r="H16" s="7"/>
      <c r="I16" s="7"/>
      <c r="J16" s="7"/>
      <c r="K16" s="7"/>
      <c r="L16" s="7"/>
      <c r="M16" s="7"/>
      <c r="N16" s="7"/>
      <c r="O16" s="7"/>
    </row>
    <row r="17" spans="2:15" x14ac:dyDescent="0.25">
      <c r="B17" s="7"/>
      <c r="C17" s="7"/>
      <c r="D17" s="7"/>
      <c r="E17" s="7"/>
      <c r="F17" s="7"/>
      <c r="G17" s="7"/>
      <c r="H17" s="7"/>
      <c r="I17" s="7"/>
      <c r="J17" s="7"/>
      <c r="K17" s="7"/>
      <c r="L17" s="7"/>
      <c r="M17" s="7"/>
      <c r="N17" s="7"/>
      <c r="O17" s="7"/>
    </row>
    <row r="18" spans="2:15" x14ac:dyDescent="0.25">
      <c r="B18" s="36"/>
      <c r="C18" s="36"/>
      <c r="D18" s="36"/>
      <c r="E18" s="36"/>
      <c r="F18" s="36"/>
      <c r="G18" s="36"/>
      <c r="H18" s="36"/>
      <c r="I18" s="36"/>
      <c r="J18" s="36"/>
      <c r="K18" s="36"/>
      <c r="L18" s="36"/>
      <c r="M18" s="36"/>
      <c r="N18" s="36"/>
      <c r="O18" s="36"/>
    </row>
    <row r="19" spans="2:15" ht="18" x14ac:dyDescent="0.25">
      <c r="B19" s="37" t="s">
        <v>99</v>
      </c>
      <c r="C19" s="36"/>
      <c r="D19" s="36"/>
      <c r="E19" s="36"/>
      <c r="F19" s="36"/>
      <c r="G19" s="36"/>
      <c r="H19" s="36"/>
      <c r="I19" s="36"/>
      <c r="J19" s="36"/>
      <c r="K19" s="36"/>
      <c r="L19" s="36"/>
      <c r="M19" s="36"/>
      <c r="N19" s="36"/>
      <c r="O19" s="36"/>
    </row>
    <row r="20" spans="2:15" x14ac:dyDescent="0.25">
      <c r="B20" s="36"/>
      <c r="C20" s="36"/>
      <c r="D20" s="36"/>
      <c r="E20" s="36"/>
      <c r="F20" s="36"/>
      <c r="G20" s="36"/>
      <c r="H20" s="36"/>
      <c r="I20" s="36"/>
      <c r="J20" s="36"/>
      <c r="K20" s="36"/>
      <c r="L20" s="36"/>
      <c r="M20" s="36"/>
      <c r="N20" s="36"/>
      <c r="O20" s="36"/>
    </row>
    <row r="21" spans="2:15" x14ac:dyDescent="0.25">
      <c r="B21" s="36" t="s">
        <v>100</v>
      </c>
      <c r="C21" s="36"/>
      <c r="D21" s="36"/>
      <c r="E21" s="36"/>
      <c r="F21" s="36"/>
      <c r="G21" s="36"/>
      <c r="H21" s="36"/>
      <c r="I21" s="36"/>
      <c r="J21" s="36"/>
      <c r="K21" s="36"/>
      <c r="L21" s="36"/>
      <c r="M21" s="36"/>
      <c r="N21" s="36"/>
      <c r="O21" s="36"/>
    </row>
    <row r="22" spans="2:15" x14ac:dyDescent="0.25">
      <c r="B22" s="38"/>
      <c r="C22" s="36"/>
      <c r="D22" s="36"/>
      <c r="E22" s="36"/>
      <c r="F22" s="36"/>
      <c r="G22" s="36"/>
      <c r="H22" s="36"/>
      <c r="I22" s="36"/>
      <c r="J22" s="36"/>
      <c r="K22" s="36"/>
      <c r="L22" s="36"/>
      <c r="M22" s="36"/>
      <c r="N22" s="36"/>
      <c r="O22" s="36"/>
    </row>
    <row r="23" spans="2:15" x14ac:dyDescent="0.25">
      <c r="B23" s="38" t="s">
        <v>101</v>
      </c>
      <c r="C23" s="36"/>
      <c r="D23" s="36"/>
      <c r="E23" s="36"/>
      <c r="F23" s="36"/>
      <c r="G23" s="36"/>
      <c r="H23" s="36"/>
      <c r="I23" s="36"/>
      <c r="J23" s="36"/>
      <c r="K23" s="36"/>
      <c r="L23" s="36"/>
      <c r="M23" s="36"/>
      <c r="N23" s="36"/>
      <c r="O23" s="36"/>
    </row>
    <row r="24" spans="2:15" x14ac:dyDescent="0.25">
      <c r="B24" s="36"/>
      <c r="C24" s="36"/>
      <c r="D24" s="36"/>
      <c r="E24" s="36"/>
      <c r="F24" s="36"/>
      <c r="G24" s="36"/>
      <c r="H24" s="36"/>
      <c r="I24" s="36"/>
      <c r="J24" s="36"/>
      <c r="K24" s="36"/>
      <c r="L24" s="36"/>
      <c r="M24" s="36"/>
      <c r="N24" s="36"/>
      <c r="O24" s="36"/>
    </row>
    <row r="25" spans="2:15" x14ac:dyDescent="0.25">
      <c r="B25" s="36" t="s">
        <v>96</v>
      </c>
      <c r="C25" s="36"/>
      <c r="D25" s="36"/>
      <c r="E25" s="36"/>
      <c r="F25" s="36"/>
      <c r="G25" s="36"/>
      <c r="H25" s="36"/>
      <c r="I25" s="36"/>
      <c r="J25" s="36"/>
      <c r="K25" s="36"/>
      <c r="L25" s="36"/>
      <c r="M25" s="36"/>
      <c r="N25" s="36"/>
      <c r="O25" s="36"/>
    </row>
    <row r="26" spans="2:15" x14ac:dyDescent="0.25">
      <c r="B26" s="36"/>
      <c r="C26" s="36"/>
      <c r="D26" s="36"/>
      <c r="E26" s="36"/>
      <c r="F26" s="36"/>
      <c r="G26" s="36"/>
      <c r="H26" s="36"/>
      <c r="I26" s="36"/>
      <c r="J26" s="36"/>
      <c r="K26" s="36"/>
      <c r="L26" s="36"/>
      <c r="M26" s="36"/>
      <c r="N26" s="36"/>
      <c r="O26" s="36"/>
    </row>
    <row r="27" spans="2:15" x14ac:dyDescent="0.25">
      <c r="B27" s="39" t="s">
        <v>102</v>
      </c>
      <c r="C27" s="36"/>
      <c r="D27" s="36"/>
      <c r="E27" s="36"/>
      <c r="F27" s="36"/>
      <c r="G27" s="36"/>
      <c r="H27" s="36"/>
      <c r="I27" s="36"/>
      <c r="J27" s="36"/>
      <c r="K27" s="36"/>
      <c r="L27" s="36"/>
      <c r="M27" s="36"/>
      <c r="N27" s="36"/>
      <c r="O27" s="36"/>
    </row>
    <row r="28" spans="2:15" x14ac:dyDescent="0.25">
      <c r="B28" s="39"/>
      <c r="C28" s="36"/>
      <c r="D28" s="36"/>
      <c r="E28" s="36"/>
      <c r="F28" s="36"/>
      <c r="G28" s="36"/>
      <c r="H28" s="36"/>
      <c r="I28" s="36"/>
      <c r="J28" s="36"/>
      <c r="K28" s="36"/>
      <c r="L28" s="36"/>
      <c r="M28" s="36"/>
      <c r="N28" s="36"/>
      <c r="O28" s="36"/>
    </row>
    <row r="29" spans="2:15" x14ac:dyDescent="0.25">
      <c r="B29" s="39"/>
      <c r="C29" s="36"/>
      <c r="D29" s="36"/>
      <c r="E29" s="36"/>
      <c r="F29" s="36"/>
      <c r="G29" s="36"/>
      <c r="H29" s="36"/>
      <c r="I29" s="36"/>
      <c r="J29" s="36"/>
      <c r="K29" s="36"/>
      <c r="L29" s="36"/>
      <c r="M29" s="36"/>
      <c r="N29" s="36"/>
      <c r="O29" s="36"/>
    </row>
    <row r="30" spans="2:15" x14ac:dyDescent="0.25">
      <c r="B30" s="36"/>
      <c r="C30" s="36"/>
      <c r="D30" s="36"/>
      <c r="E30" s="36"/>
      <c r="F30" s="36"/>
      <c r="G30" s="36"/>
      <c r="H30" s="36"/>
      <c r="I30" s="36"/>
      <c r="J30" s="36"/>
      <c r="K30" s="36"/>
      <c r="L30" s="36"/>
      <c r="M30" s="36"/>
      <c r="N30" s="36"/>
      <c r="O30" s="36"/>
    </row>
    <row r="31" spans="2:15" x14ac:dyDescent="0.25">
      <c r="B31" s="36" t="s">
        <v>123</v>
      </c>
      <c r="C31" s="36"/>
      <c r="D31" s="36"/>
      <c r="E31" s="36"/>
      <c r="F31" s="36"/>
      <c r="G31" s="36"/>
      <c r="H31" s="36"/>
      <c r="I31" s="36"/>
      <c r="J31" s="36"/>
      <c r="K31" s="36"/>
      <c r="L31" s="36"/>
      <c r="M31" s="36"/>
      <c r="N31" s="36"/>
      <c r="O31" s="36"/>
    </row>
    <row r="32" spans="2:15" x14ac:dyDescent="0.25">
      <c r="B32" s="38" t="s">
        <v>124</v>
      </c>
      <c r="C32" s="36"/>
      <c r="D32" s="36"/>
      <c r="E32" s="36"/>
      <c r="F32" s="36"/>
      <c r="G32" s="36"/>
      <c r="H32" s="36"/>
      <c r="I32" s="36"/>
      <c r="J32" s="36"/>
      <c r="K32" s="36"/>
      <c r="L32" s="36"/>
      <c r="M32" s="36"/>
      <c r="N32" s="36"/>
      <c r="O32" s="36"/>
    </row>
    <row r="33" spans="2:15" x14ac:dyDescent="0.25">
      <c r="B33" s="40" t="s">
        <v>125</v>
      </c>
      <c r="C33" s="36"/>
      <c r="D33" s="36"/>
      <c r="E33" s="36"/>
      <c r="F33" s="36"/>
      <c r="G33" s="36"/>
      <c r="H33" s="36"/>
      <c r="I33" s="36"/>
      <c r="J33" s="36"/>
      <c r="K33" s="36"/>
      <c r="L33" s="36"/>
      <c r="M33" s="36"/>
      <c r="N33" s="36"/>
      <c r="O33" s="36"/>
    </row>
    <row r="34" spans="2:15" x14ac:dyDescent="0.25">
      <c r="B34" s="38" t="s">
        <v>126</v>
      </c>
      <c r="C34" s="36"/>
      <c r="D34" s="36"/>
      <c r="E34" s="36"/>
      <c r="F34" s="36"/>
      <c r="G34" s="36"/>
      <c r="H34" s="36"/>
      <c r="I34" s="36"/>
      <c r="J34" s="36"/>
      <c r="K34" s="36"/>
      <c r="L34" s="36"/>
      <c r="M34" s="36"/>
      <c r="N34" s="36"/>
      <c r="O34" s="36"/>
    </row>
    <row r="35" spans="2:15" x14ac:dyDescent="0.25">
      <c r="B35" s="41"/>
      <c r="C35" s="41"/>
      <c r="D35" s="36"/>
      <c r="E35" s="36"/>
      <c r="F35" s="36"/>
      <c r="G35" s="36"/>
      <c r="H35" s="36"/>
      <c r="I35" s="36"/>
      <c r="J35" s="36"/>
      <c r="K35" s="36"/>
      <c r="L35" s="36"/>
      <c r="M35" s="36"/>
      <c r="N35" s="36"/>
      <c r="O35" s="36"/>
    </row>
    <row r="36" spans="2:15" x14ac:dyDescent="0.25">
      <c r="B36" s="42"/>
      <c r="C36" s="42"/>
      <c r="D36" s="36"/>
      <c r="E36" s="36"/>
      <c r="F36" s="36"/>
      <c r="G36" s="36"/>
      <c r="H36" s="36"/>
      <c r="I36" s="36"/>
      <c r="J36" s="36"/>
      <c r="K36" s="36"/>
      <c r="L36" s="36"/>
      <c r="M36" s="36"/>
      <c r="N36" s="36"/>
      <c r="O36" s="36"/>
    </row>
    <row r="37" spans="2:15" ht="18" x14ac:dyDescent="0.25">
      <c r="B37" s="37" t="s">
        <v>127</v>
      </c>
      <c r="C37" s="36"/>
      <c r="D37" s="36"/>
      <c r="E37" s="36"/>
      <c r="F37" s="36"/>
      <c r="G37" s="36"/>
      <c r="H37" s="36"/>
      <c r="I37" s="36"/>
      <c r="J37" s="36"/>
      <c r="K37" s="36"/>
      <c r="L37" s="36"/>
      <c r="M37" s="36"/>
      <c r="N37" s="36"/>
      <c r="O37" s="36"/>
    </row>
    <row r="38" spans="2:15" x14ac:dyDescent="0.25">
      <c r="B38" s="36"/>
      <c r="C38" s="36"/>
      <c r="D38" s="36"/>
      <c r="E38" s="36"/>
      <c r="F38" s="36"/>
      <c r="G38" s="36"/>
      <c r="H38" s="36"/>
      <c r="I38" s="36"/>
      <c r="J38" s="36"/>
      <c r="K38" s="36"/>
      <c r="L38" s="36"/>
      <c r="M38" s="36"/>
      <c r="N38" s="36"/>
      <c r="O38" s="36"/>
    </row>
    <row r="39" spans="2:15" x14ac:dyDescent="0.25">
      <c r="B39" s="36" t="s">
        <v>128</v>
      </c>
      <c r="C39" s="36"/>
      <c r="D39" s="36"/>
      <c r="E39" s="36"/>
      <c r="F39" s="36"/>
      <c r="G39" s="36"/>
      <c r="H39" s="36"/>
      <c r="I39" s="36"/>
      <c r="J39" s="36"/>
      <c r="K39" s="36"/>
      <c r="L39" s="36"/>
      <c r="M39" s="36"/>
      <c r="N39" s="36"/>
      <c r="O39" s="36"/>
    </row>
    <row r="40" spans="2:15" x14ac:dyDescent="0.25">
      <c r="B40" s="36"/>
      <c r="C40" s="36"/>
      <c r="D40" s="36"/>
      <c r="E40" s="36"/>
      <c r="F40" s="36"/>
      <c r="G40" s="36"/>
      <c r="H40" s="36"/>
      <c r="I40" s="36"/>
      <c r="J40" s="36"/>
      <c r="K40" s="36"/>
      <c r="L40" s="36"/>
      <c r="M40" s="36"/>
      <c r="N40" s="36"/>
      <c r="O40" s="36"/>
    </row>
    <row r="41" spans="2:15" x14ac:dyDescent="0.25">
      <c r="B41" s="41" t="s">
        <v>129</v>
      </c>
      <c r="C41" s="41" t="s">
        <v>130</v>
      </c>
      <c r="D41" s="36"/>
      <c r="E41" s="36"/>
      <c r="F41" s="36"/>
      <c r="G41" s="36"/>
      <c r="H41" s="36"/>
      <c r="I41" s="36"/>
      <c r="J41" s="36"/>
      <c r="K41" s="36"/>
      <c r="L41" s="36"/>
      <c r="M41" s="36"/>
      <c r="N41" s="36"/>
      <c r="O41" s="36"/>
    </row>
    <row r="42" spans="2:15" ht="30" x14ac:dyDescent="0.25">
      <c r="B42" s="43" t="s">
        <v>131</v>
      </c>
      <c r="C42" s="42" t="s">
        <v>132</v>
      </c>
      <c r="D42" s="36"/>
      <c r="E42" s="36"/>
      <c r="F42" s="36"/>
      <c r="G42" s="36"/>
      <c r="H42" s="36"/>
      <c r="I42" s="36"/>
      <c r="J42" s="36"/>
      <c r="K42" s="36"/>
      <c r="L42" s="36"/>
      <c r="M42" s="36"/>
      <c r="N42" s="36"/>
      <c r="O42" s="36"/>
    </row>
    <row r="43" spans="2:15" x14ac:dyDescent="0.25">
      <c r="B43" s="43" t="s">
        <v>133</v>
      </c>
      <c r="C43" s="42" t="s">
        <v>134</v>
      </c>
      <c r="D43" s="36"/>
      <c r="E43" s="36"/>
      <c r="F43" s="36"/>
      <c r="G43" s="36"/>
      <c r="H43" s="36"/>
      <c r="I43" s="36"/>
      <c r="J43" s="36"/>
      <c r="K43" s="36"/>
      <c r="L43" s="36"/>
      <c r="M43" s="36"/>
      <c r="N43" s="36"/>
      <c r="O43" s="36"/>
    </row>
    <row r="44" spans="2:15" x14ac:dyDescent="0.25">
      <c r="B44" s="43" t="s">
        <v>135</v>
      </c>
      <c r="C44" s="42" t="s">
        <v>136</v>
      </c>
      <c r="D44" s="36"/>
      <c r="E44" s="36"/>
      <c r="F44" s="36"/>
      <c r="G44" s="36"/>
      <c r="H44" s="36"/>
      <c r="I44" s="36"/>
      <c r="J44" s="36"/>
      <c r="K44" s="36"/>
      <c r="L44" s="36"/>
      <c r="M44" s="36"/>
      <c r="N44" s="36"/>
      <c r="O44" s="36"/>
    </row>
    <row r="45" spans="2:15" x14ac:dyDescent="0.25">
      <c r="B45" s="36"/>
      <c r="C45" s="36"/>
      <c r="D45" s="36"/>
      <c r="E45" s="36"/>
      <c r="F45" s="36"/>
      <c r="G45" s="36"/>
      <c r="H45" s="36"/>
      <c r="I45" s="36"/>
      <c r="J45" s="36"/>
      <c r="K45" s="36"/>
      <c r="L45" s="36"/>
      <c r="M45" s="36"/>
      <c r="N45" s="36"/>
      <c r="O45" s="36"/>
    </row>
    <row r="46" spans="2:15" x14ac:dyDescent="0.25">
      <c r="B46" s="36" t="s">
        <v>137</v>
      </c>
      <c r="C46" s="36"/>
      <c r="D46" s="36"/>
      <c r="E46" s="36"/>
      <c r="F46" s="36"/>
      <c r="G46" s="36"/>
      <c r="H46" s="36"/>
      <c r="I46" s="36"/>
      <c r="J46" s="36"/>
      <c r="K46" s="36"/>
      <c r="L46" s="36"/>
      <c r="M46" s="36"/>
      <c r="N46" s="36"/>
      <c r="O46" s="36"/>
    </row>
    <row r="47" spans="2:15" x14ac:dyDescent="0.25">
      <c r="B47" s="36"/>
      <c r="C47" s="36"/>
      <c r="D47" s="36"/>
      <c r="E47" s="36"/>
      <c r="F47" s="36"/>
      <c r="G47" s="36"/>
      <c r="H47" s="36"/>
      <c r="I47" s="36"/>
      <c r="J47" s="36"/>
      <c r="K47" s="36"/>
      <c r="L47" s="36"/>
      <c r="M47" s="36"/>
      <c r="N47" s="36"/>
      <c r="O47" s="36"/>
    </row>
    <row r="48" spans="2:15" x14ac:dyDescent="0.25">
      <c r="B48" s="36"/>
      <c r="C48" s="36"/>
      <c r="D48" s="36"/>
      <c r="E48" s="36"/>
      <c r="F48" s="36"/>
      <c r="G48" s="36"/>
      <c r="H48" s="36"/>
      <c r="I48" s="36"/>
      <c r="J48" s="36"/>
      <c r="K48" s="36"/>
      <c r="L48" s="36"/>
      <c r="M48" s="36"/>
      <c r="N48" s="36"/>
      <c r="O48" s="3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S29"/>
  <sheetViews>
    <sheetView zoomScale="55" zoomScaleNormal="55" workbookViewId="0">
      <selection activeCell="C30" sqref="C30"/>
    </sheetView>
  </sheetViews>
  <sheetFormatPr defaultRowHeight="15" x14ac:dyDescent="0.25"/>
  <cols>
    <col min="2" max="2" width="19.5703125" customWidth="1"/>
    <col min="3" max="3" width="17.7109375" customWidth="1"/>
    <col min="6" max="6" width="20" customWidth="1"/>
    <col min="7" max="7" width="13.85546875" customWidth="1"/>
    <col min="10" max="10" width="20" customWidth="1"/>
    <col min="11" max="11" width="15.28515625" customWidth="1"/>
    <col min="14" max="14" width="21" customWidth="1"/>
    <col min="15" max="15" width="12.5703125" customWidth="1"/>
    <col min="18" max="18" width="19.42578125" customWidth="1"/>
    <col min="19" max="19" width="13.5703125" customWidth="1"/>
  </cols>
  <sheetData>
    <row r="4" spans="2:19" ht="18" x14ac:dyDescent="0.25">
      <c r="B4" s="28" t="s">
        <v>110</v>
      </c>
      <c r="C4" s="7"/>
      <c r="F4" s="28" t="s">
        <v>111</v>
      </c>
      <c r="G4" s="7"/>
      <c r="J4" s="28" t="s">
        <v>112</v>
      </c>
      <c r="K4" s="7"/>
      <c r="N4" s="28" t="s">
        <v>113</v>
      </c>
      <c r="O4" s="7"/>
      <c r="R4" s="28" t="s">
        <v>114</v>
      </c>
      <c r="S4" s="7"/>
    </row>
    <row r="5" spans="2:19" x14ac:dyDescent="0.25">
      <c r="B5" s="7"/>
      <c r="C5" s="7"/>
      <c r="F5" s="7"/>
      <c r="G5" s="7"/>
      <c r="J5" s="7"/>
      <c r="K5" s="7"/>
      <c r="N5" s="7"/>
      <c r="O5" s="7"/>
      <c r="R5" s="7"/>
      <c r="S5" s="7"/>
    </row>
    <row r="6" spans="2:19" x14ac:dyDescent="0.25">
      <c r="B6" s="32" t="s">
        <v>104</v>
      </c>
      <c r="C6" s="32" t="s">
        <v>105</v>
      </c>
      <c r="F6" s="32" t="s">
        <v>104</v>
      </c>
      <c r="G6" s="32" t="s">
        <v>105</v>
      </c>
      <c r="J6" s="32" t="s">
        <v>104</v>
      </c>
      <c r="K6" s="32" t="s">
        <v>105</v>
      </c>
      <c r="N6" s="32" t="s">
        <v>104</v>
      </c>
      <c r="O6" s="32" t="s">
        <v>105</v>
      </c>
      <c r="R6" s="32" t="s">
        <v>104</v>
      </c>
      <c r="S6" s="32" t="s">
        <v>105</v>
      </c>
    </row>
    <row r="7" spans="2:19" ht="30" x14ac:dyDescent="0.25">
      <c r="B7" s="33" t="s">
        <v>119</v>
      </c>
      <c r="C7" s="33">
        <f>'Plot 1'!P42</f>
        <v>17.373539506036774</v>
      </c>
      <c r="F7" s="33" t="s">
        <v>119</v>
      </c>
      <c r="G7" s="33">
        <f>'Plot 2'!P26</f>
        <v>67.387459453540345</v>
      </c>
      <c r="J7" s="33" t="s">
        <v>119</v>
      </c>
      <c r="K7" s="33">
        <f>'Plot 3'!P67</f>
        <v>12.777698701046056</v>
      </c>
      <c r="N7" s="33" t="s">
        <v>119</v>
      </c>
      <c r="O7" s="33">
        <f>'Plot 4'!$P$23</f>
        <v>4.0045066221034098</v>
      </c>
      <c r="R7" s="33" t="s">
        <v>119</v>
      </c>
      <c r="S7" s="33">
        <f>'Plot 5'!P62</f>
        <v>124.92140776396191</v>
      </c>
    </row>
    <row r="8" spans="2:19" ht="45" x14ac:dyDescent="0.25">
      <c r="B8" s="33" t="s">
        <v>120</v>
      </c>
      <c r="C8" s="33">
        <f>'Plot 1'!P46</f>
        <v>21.5431889874856</v>
      </c>
      <c r="F8" s="33" t="s">
        <v>120</v>
      </c>
      <c r="G8" s="33">
        <f>'Plot 2'!P30</f>
        <v>83.560449722390032</v>
      </c>
      <c r="J8" s="33" t="s">
        <v>120</v>
      </c>
      <c r="K8" s="33">
        <f>'Plot 3'!P71</f>
        <v>15.84434638929711</v>
      </c>
      <c r="N8" s="33" t="s">
        <v>120</v>
      </c>
      <c r="O8" s="33">
        <f>'Plot 4'!$P$27</f>
        <v>4.9655882114082281</v>
      </c>
      <c r="R8" s="33" t="s">
        <v>120</v>
      </c>
      <c r="S8" s="33">
        <f>'Plot 5'!P66</f>
        <v>154.90254562731278</v>
      </c>
    </row>
    <row r="9" spans="2:19" ht="30" x14ac:dyDescent="0.25">
      <c r="B9" s="33" t="s">
        <v>121</v>
      </c>
      <c r="C9" s="33">
        <f>'Plot 1'!P50</f>
        <v>25.85182678498272</v>
      </c>
      <c r="F9" s="33" t="s">
        <v>121</v>
      </c>
      <c r="G9" s="33">
        <f>'Plot 2'!P34</f>
        <v>100.27253966686804</v>
      </c>
      <c r="J9" s="33" t="s">
        <v>121</v>
      </c>
      <c r="K9" s="33">
        <f>'Plot 3'!P75</f>
        <v>19.01321566715653</v>
      </c>
      <c r="N9" s="33" t="s">
        <v>121</v>
      </c>
      <c r="O9" s="33">
        <f>'Plot 4'!$P$31</f>
        <v>5.9587058536898736</v>
      </c>
      <c r="R9" s="33" t="s">
        <v>121</v>
      </c>
      <c r="S9" s="33">
        <f>'Plot 5'!P70</f>
        <v>185.88305475277534</v>
      </c>
    </row>
    <row r="10" spans="2:19" ht="30" x14ac:dyDescent="0.25">
      <c r="B10" s="52" t="s">
        <v>138</v>
      </c>
      <c r="C10" s="36">
        <f>'Plot 1'!P54</f>
        <v>39.424035847098651</v>
      </c>
      <c r="F10" s="52" t="s">
        <v>138</v>
      </c>
      <c r="G10" s="36">
        <f>'Plot 2'!P38</f>
        <v>152.91562299197378</v>
      </c>
      <c r="J10" s="52" t="s">
        <v>138</v>
      </c>
      <c r="K10" s="36">
        <f>'Plot 3'!P79</f>
        <v>28.995153892413711</v>
      </c>
      <c r="N10" s="52" t="s">
        <v>138</v>
      </c>
      <c r="O10" s="36">
        <f>'Plot 4'!P35</f>
        <v>9.087026426877058</v>
      </c>
      <c r="R10" s="52" t="s">
        <v>138</v>
      </c>
      <c r="S10" s="36">
        <f>'Plot 5'!P74</f>
        <v>283.47165849798239</v>
      </c>
    </row>
    <row r="23" spans="2:19" ht="18" x14ac:dyDescent="0.25">
      <c r="B23" s="28" t="s">
        <v>115</v>
      </c>
      <c r="C23" s="7"/>
      <c r="F23" s="28" t="s">
        <v>116</v>
      </c>
      <c r="G23" s="7"/>
      <c r="J23" s="28" t="s">
        <v>117</v>
      </c>
      <c r="K23" s="7"/>
      <c r="N23" s="28" t="s">
        <v>103</v>
      </c>
      <c r="O23" s="7"/>
      <c r="R23" s="28" t="s">
        <v>118</v>
      </c>
      <c r="S23" s="7"/>
    </row>
    <row r="24" spans="2:19" x14ac:dyDescent="0.25">
      <c r="B24" s="7"/>
      <c r="C24" s="7"/>
      <c r="F24" s="7"/>
      <c r="G24" s="7"/>
      <c r="J24" s="7"/>
      <c r="K24" s="7"/>
      <c r="N24" s="7"/>
      <c r="O24" s="7"/>
      <c r="R24" s="7"/>
      <c r="S24" s="7"/>
    </row>
    <row r="25" spans="2:19" x14ac:dyDescent="0.25">
      <c r="B25" s="32" t="s">
        <v>104</v>
      </c>
      <c r="C25" s="32" t="s">
        <v>105</v>
      </c>
      <c r="F25" s="32" t="s">
        <v>104</v>
      </c>
      <c r="G25" s="32" t="s">
        <v>105</v>
      </c>
      <c r="J25" s="32" t="s">
        <v>104</v>
      </c>
      <c r="K25" s="32" t="s">
        <v>105</v>
      </c>
      <c r="N25" s="32" t="s">
        <v>104</v>
      </c>
      <c r="O25" s="32" t="s">
        <v>105</v>
      </c>
      <c r="R25" s="32" t="s">
        <v>104</v>
      </c>
      <c r="S25" s="32" t="s">
        <v>105</v>
      </c>
    </row>
    <row r="26" spans="2:19" ht="30" x14ac:dyDescent="0.25">
      <c r="B26" s="33" t="s">
        <v>119</v>
      </c>
      <c r="C26" s="33">
        <f>'Plot 6'!P38</f>
        <v>14.706278382446801</v>
      </c>
      <c r="F26" s="33" t="s">
        <v>119</v>
      </c>
      <c r="G26" s="33">
        <f>'Plot 7'!P51</f>
        <v>98.03361567381215</v>
      </c>
      <c r="J26" s="33" t="s">
        <v>119</v>
      </c>
      <c r="K26" s="33">
        <f>'Plot 8'!P29</f>
        <v>3.9503912603772058</v>
      </c>
      <c r="N26" s="33" t="s">
        <v>119</v>
      </c>
      <c r="O26" s="33">
        <f>'Plot 9'!P44</f>
        <v>9.1173845729132506</v>
      </c>
      <c r="R26" s="33" t="s">
        <v>119</v>
      </c>
      <c r="S26" s="33">
        <f>'Plot 10'!P21</f>
        <v>6.9844994353242233</v>
      </c>
    </row>
    <row r="27" spans="2:19" ht="45" x14ac:dyDescent="0.25">
      <c r="B27" s="33" t="s">
        <v>120</v>
      </c>
      <c r="C27" s="33">
        <f>'Plot 6'!P42</f>
        <v>18.235785194234033</v>
      </c>
      <c r="F27" s="33" t="s">
        <v>120</v>
      </c>
      <c r="G27" s="33">
        <f>'Plot 7'!P55</f>
        <v>121.56168343552706</v>
      </c>
      <c r="J27" s="33" t="s">
        <v>120</v>
      </c>
      <c r="K27" s="33">
        <f>'Plot 8'!P33</f>
        <v>4.8984851628677353</v>
      </c>
      <c r="N27" s="33" t="s">
        <v>120</v>
      </c>
      <c r="O27" s="33">
        <f>'Plot 9'!P48</f>
        <v>11.305556870412431</v>
      </c>
      <c r="R27" s="33" t="s">
        <v>120</v>
      </c>
      <c r="S27" s="33">
        <f>'Plot 10'!P25</f>
        <v>8.6607792998020372</v>
      </c>
    </row>
    <row r="28" spans="2:19" ht="30" x14ac:dyDescent="0.25">
      <c r="B28" s="33" t="s">
        <v>121</v>
      </c>
      <c r="C28" s="33">
        <f>'Plot 6'!P46</f>
        <v>21.88294223308084</v>
      </c>
      <c r="F28" s="33" t="s">
        <v>121</v>
      </c>
      <c r="G28" s="33">
        <f>'Plot 7'!P59</f>
        <v>145.87402012263246</v>
      </c>
      <c r="J28" s="33" t="s">
        <v>121</v>
      </c>
      <c r="K28" s="33">
        <f>'Plot 8'!P37</f>
        <v>5.8781821954412825</v>
      </c>
      <c r="N28" s="33" t="s">
        <v>121</v>
      </c>
      <c r="O28" s="33">
        <f>'Plot 9'!P52</f>
        <v>13.566668244494917</v>
      </c>
      <c r="R28" s="33" t="s">
        <v>121</v>
      </c>
      <c r="S28" s="33">
        <f>'Plot 10'!P29</f>
        <v>10.392935159762445</v>
      </c>
    </row>
    <row r="29" spans="2:19" ht="30" x14ac:dyDescent="0.25">
      <c r="B29" s="52" t="s">
        <v>138</v>
      </c>
      <c r="C29" s="36">
        <f>'Plot 6'!P50</f>
        <v>33.371486905448279</v>
      </c>
      <c r="F29" s="52" t="s">
        <v>138</v>
      </c>
      <c r="G29" s="36">
        <f>'Plot 7'!P63</f>
        <v>222.45788068701452</v>
      </c>
      <c r="J29" s="52" t="s">
        <v>138</v>
      </c>
      <c r="K29" s="36">
        <f>'Plot 8'!P41</f>
        <v>8.9642278480479565</v>
      </c>
      <c r="N29" s="52" t="s">
        <v>138</v>
      </c>
      <c r="O29" s="36">
        <f>'Plot 9'!P56</f>
        <v>20.689169072854749</v>
      </c>
      <c r="R29" s="52" t="s">
        <v>138</v>
      </c>
      <c r="S29" s="36">
        <f>'Plot 10'!P33</f>
        <v>15.849226118637729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42"/>
  <sheetViews>
    <sheetView tabSelected="1" topLeftCell="A21" zoomScale="70" zoomScaleNormal="70" workbookViewId="0">
      <selection activeCell="E45" sqref="E45"/>
    </sheetView>
  </sheetViews>
  <sheetFormatPr defaultRowHeight="15" x14ac:dyDescent="0.25"/>
  <cols>
    <col min="2" max="2" width="22.140625" customWidth="1"/>
    <col min="4" max="4" width="34.42578125" customWidth="1"/>
    <col min="5" max="5" width="33.85546875" customWidth="1"/>
    <col min="6" max="6" width="16.5703125" customWidth="1"/>
  </cols>
  <sheetData>
    <row r="2" spans="2:12" ht="18" x14ac:dyDescent="0.25">
      <c r="B2" s="60" t="s">
        <v>148</v>
      </c>
      <c r="C2" s="61"/>
      <c r="D2" s="61"/>
      <c r="E2" s="61"/>
      <c r="F2" s="61"/>
      <c r="G2" s="61"/>
      <c r="H2" s="61"/>
      <c r="I2" s="61"/>
    </row>
    <row r="3" spans="2:12" x14ac:dyDescent="0.25">
      <c r="B3" s="61"/>
      <c r="C3" s="61"/>
      <c r="D3" s="61"/>
      <c r="E3" s="61"/>
      <c r="F3" s="61"/>
      <c r="G3" s="61"/>
      <c r="H3" s="61"/>
      <c r="I3" s="61"/>
    </row>
    <row r="4" spans="2:12" x14ac:dyDescent="0.25">
      <c r="B4" s="61" t="s">
        <v>149</v>
      </c>
      <c r="C4" s="61"/>
      <c r="D4" s="61"/>
      <c r="E4" s="61"/>
      <c r="F4" s="61"/>
      <c r="G4" s="61"/>
      <c r="H4" s="61"/>
      <c r="I4" s="61"/>
    </row>
    <row r="5" spans="2:12" x14ac:dyDescent="0.25">
      <c r="B5" s="61" t="s">
        <v>150</v>
      </c>
      <c r="C5" s="61"/>
      <c r="D5" s="61"/>
      <c r="E5" s="61"/>
      <c r="F5" s="61"/>
      <c r="G5" s="61"/>
      <c r="H5" s="61"/>
      <c r="I5" s="61"/>
    </row>
    <row r="6" spans="2:12" x14ac:dyDescent="0.25">
      <c r="B6" s="61"/>
      <c r="C6" s="61"/>
      <c r="D6" s="61"/>
      <c r="E6" s="61"/>
      <c r="F6" s="61"/>
      <c r="G6" s="61"/>
      <c r="H6" s="61"/>
      <c r="I6" s="61"/>
    </row>
    <row r="7" spans="2:12" x14ac:dyDescent="0.25">
      <c r="B7" s="61" t="s">
        <v>151</v>
      </c>
      <c r="C7" s="61"/>
      <c r="D7" s="61"/>
      <c r="E7" s="61"/>
      <c r="F7" s="61"/>
      <c r="G7" s="61"/>
      <c r="H7" s="61"/>
      <c r="I7" s="61"/>
    </row>
    <row r="8" spans="2:12" x14ac:dyDescent="0.25">
      <c r="B8" s="61"/>
      <c r="C8" s="61"/>
      <c r="D8" s="61"/>
      <c r="E8" s="61"/>
      <c r="F8" s="61"/>
      <c r="G8" s="61"/>
      <c r="H8" s="61"/>
      <c r="I8" s="61"/>
    </row>
    <row r="9" spans="2:12" x14ac:dyDescent="0.25">
      <c r="B9" s="61" t="s">
        <v>152</v>
      </c>
      <c r="C9" s="61"/>
      <c r="D9" s="61"/>
      <c r="E9" s="61"/>
      <c r="F9" s="61"/>
      <c r="G9" s="61"/>
      <c r="H9" s="61"/>
      <c r="I9" s="61"/>
    </row>
    <row r="10" spans="2:12" x14ac:dyDescent="0.25">
      <c r="B10" s="62" t="s">
        <v>153</v>
      </c>
      <c r="C10" s="61"/>
      <c r="D10" s="61"/>
      <c r="E10" s="61"/>
      <c r="F10" s="61"/>
      <c r="G10" s="61"/>
      <c r="H10" s="61"/>
      <c r="I10" s="61"/>
    </row>
    <row r="11" spans="2:12" x14ac:dyDescent="0.25">
      <c r="B11" s="61"/>
      <c r="C11" s="61"/>
      <c r="D11" s="61"/>
      <c r="E11" s="61"/>
      <c r="F11" s="61"/>
      <c r="G11" s="61"/>
      <c r="H11" s="61"/>
      <c r="I11" s="61"/>
    </row>
    <row r="12" spans="2:12" x14ac:dyDescent="0.25">
      <c r="B12" s="61"/>
      <c r="C12" s="61"/>
      <c r="D12" s="61"/>
      <c r="E12" s="61"/>
      <c r="F12" s="61"/>
      <c r="G12" s="61"/>
      <c r="H12" s="61"/>
      <c r="I12" s="61"/>
    </row>
    <row r="15" spans="2:12" ht="18" x14ac:dyDescent="0.25">
      <c r="B15" s="60" t="s">
        <v>154</v>
      </c>
      <c r="C15" s="61"/>
      <c r="D15" s="61"/>
      <c r="E15" s="61"/>
      <c r="F15" s="61"/>
      <c r="H15" s="60" t="s">
        <v>162</v>
      </c>
      <c r="I15" s="61"/>
      <c r="J15" s="61"/>
      <c r="K15" s="61"/>
      <c r="L15" s="61"/>
    </row>
    <row r="16" spans="2:12" x14ac:dyDescent="0.25">
      <c r="B16" s="61"/>
      <c r="C16" s="61"/>
      <c r="D16" s="61"/>
      <c r="E16" s="61"/>
      <c r="F16" s="61"/>
      <c r="H16" s="63"/>
      <c r="I16" s="61"/>
      <c r="J16" s="61"/>
      <c r="K16" s="61"/>
      <c r="L16" s="61"/>
    </row>
    <row r="17" spans="2:12" x14ac:dyDescent="0.25">
      <c r="B17" s="61" t="s">
        <v>155</v>
      </c>
      <c r="C17" s="61"/>
      <c r="D17" s="61"/>
      <c r="E17" s="61"/>
      <c r="F17" s="61"/>
      <c r="H17" s="64" t="s">
        <v>164</v>
      </c>
      <c r="I17" s="61"/>
      <c r="J17" s="61"/>
      <c r="K17" s="61"/>
      <c r="L17" s="61"/>
    </row>
    <row r="18" spans="2:12" x14ac:dyDescent="0.25">
      <c r="B18" s="61"/>
      <c r="C18" s="61"/>
      <c r="D18" s="61"/>
      <c r="E18" s="61"/>
      <c r="F18" s="61"/>
      <c r="H18" s="63"/>
      <c r="I18" s="61"/>
      <c r="J18" s="61"/>
      <c r="K18" s="61"/>
      <c r="L18" s="61"/>
    </row>
    <row r="19" spans="2:12" x14ac:dyDescent="0.25">
      <c r="B19" s="61" t="s">
        <v>156</v>
      </c>
      <c r="C19" s="61" t="s">
        <v>157</v>
      </c>
      <c r="D19" s="61"/>
      <c r="E19" s="61"/>
      <c r="F19" s="61"/>
      <c r="H19" s="63"/>
      <c r="I19" s="61"/>
      <c r="J19" s="61"/>
      <c r="K19" s="61"/>
      <c r="L19" s="61"/>
    </row>
    <row r="20" spans="2:12" x14ac:dyDescent="0.25">
      <c r="B20" s="61"/>
      <c r="C20" s="61"/>
      <c r="D20" s="61"/>
      <c r="E20" s="61"/>
      <c r="F20" s="61"/>
      <c r="H20" s="61"/>
      <c r="I20" s="61"/>
      <c r="J20" s="61"/>
      <c r="K20" s="61"/>
      <c r="L20" s="61"/>
    </row>
    <row r="21" spans="2:12" x14ac:dyDescent="0.25">
      <c r="B21" s="61"/>
      <c r="C21" s="61" t="s">
        <v>158</v>
      </c>
      <c r="D21" s="61"/>
      <c r="E21" s="61"/>
      <c r="F21" s="61"/>
    </row>
    <row r="22" spans="2:12" x14ac:dyDescent="0.25">
      <c r="B22" s="61"/>
      <c r="C22" s="61"/>
      <c r="D22" s="61"/>
      <c r="E22" s="61"/>
      <c r="F22" s="61"/>
    </row>
    <row r="23" spans="2:12" x14ac:dyDescent="0.25">
      <c r="B23" s="8"/>
      <c r="C23" s="8"/>
      <c r="D23" s="8"/>
      <c r="E23" s="8"/>
      <c r="F23" s="8"/>
    </row>
    <row r="26" spans="2:12" x14ac:dyDescent="0.25">
      <c r="C26" t="s">
        <v>159</v>
      </c>
      <c r="D26" t="s">
        <v>160</v>
      </c>
      <c r="E26" t="s">
        <v>161</v>
      </c>
      <c r="F26" t="s">
        <v>106</v>
      </c>
    </row>
    <row r="27" spans="2:12" x14ac:dyDescent="0.25">
      <c r="C27">
        <v>1</v>
      </c>
      <c r="D27">
        <f>Summery!C10</f>
        <v>39.424035847098651</v>
      </c>
      <c r="E27">
        <f>D27/10</f>
        <v>3.9424035847098651</v>
      </c>
      <c r="F27">
        <f>'Plot 1'!P42</f>
        <v>17.373539506036774</v>
      </c>
    </row>
    <row r="28" spans="2:12" x14ac:dyDescent="0.25">
      <c r="C28">
        <v>2</v>
      </c>
      <c r="D28">
        <f>Summery!G10</f>
        <v>152.91562299197378</v>
      </c>
      <c r="E28">
        <f t="shared" ref="E28:E36" si="0">D28/10</f>
        <v>15.291562299197377</v>
      </c>
      <c r="F28">
        <f>'Plot 2'!P26</f>
        <v>67.387459453540345</v>
      </c>
    </row>
    <row r="29" spans="2:12" x14ac:dyDescent="0.25">
      <c r="C29">
        <v>3</v>
      </c>
      <c r="D29">
        <f>Summery!K10</f>
        <v>28.995153892413711</v>
      </c>
      <c r="E29">
        <f t="shared" si="0"/>
        <v>2.8995153892413712</v>
      </c>
      <c r="F29">
        <f>'Plot 3'!P67</f>
        <v>12.777698701046056</v>
      </c>
    </row>
    <row r="30" spans="2:12" x14ac:dyDescent="0.25">
      <c r="C30">
        <v>4</v>
      </c>
      <c r="D30">
        <f>Summery!O10</f>
        <v>9.087026426877058</v>
      </c>
      <c r="E30">
        <f t="shared" si="0"/>
        <v>0.90870264268770584</v>
      </c>
      <c r="F30">
        <f>'Plot 4'!P23</f>
        <v>4.0045066221034098</v>
      </c>
    </row>
    <row r="31" spans="2:12" x14ac:dyDescent="0.25">
      <c r="C31">
        <v>5</v>
      </c>
      <c r="D31">
        <f>Summery!S10</f>
        <v>283.47165849798239</v>
      </c>
      <c r="E31">
        <f t="shared" si="0"/>
        <v>28.347165849798238</v>
      </c>
      <c r="F31">
        <f>'Plot 5'!P62</f>
        <v>124.92140776396191</v>
      </c>
    </row>
    <row r="32" spans="2:12" x14ac:dyDescent="0.25">
      <c r="C32">
        <v>6</v>
      </c>
      <c r="D32">
        <f>Summery!C29</f>
        <v>33.371486905448279</v>
      </c>
      <c r="E32">
        <f t="shared" si="0"/>
        <v>3.337148690544828</v>
      </c>
      <c r="F32">
        <f>'Plot 6'!P38</f>
        <v>14.706278382446801</v>
      </c>
    </row>
    <row r="33" spans="3:6" x14ac:dyDescent="0.25">
      <c r="C33">
        <v>7</v>
      </c>
      <c r="D33">
        <f>Summery!G29</f>
        <v>222.45788068701452</v>
      </c>
      <c r="E33">
        <f t="shared" si="0"/>
        <v>22.245788068701451</v>
      </c>
      <c r="F33">
        <f>'Plot 7'!P51</f>
        <v>98.03361567381215</v>
      </c>
    </row>
    <row r="34" spans="3:6" x14ac:dyDescent="0.25">
      <c r="C34">
        <v>8</v>
      </c>
      <c r="D34">
        <f>Summery!K29</f>
        <v>8.9642278480479565</v>
      </c>
      <c r="E34">
        <f t="shared" si="0"/>
        <v>0.89642278480479565</v>
      </c>
      <c r="F34">
        <f>'Plot 8'!P29</f>
        <v>3.9503912603772058</v>
      </c>
    </row>
    <row r="35" spans="3:6" x14ac:dyDescent="0.25">
      <c r="C35">
        <v>9</v>
      </c>
      <c r="D35">
        <f>Summery!O29</f>
        <v>20.689169072854749</v>
      </c>
      <c r="E35">
        <f t="shared" si="0"/>
        <v>2.0689169072854749</v>
      </c>
      <c r="F35">
        <f>'Plot 9'!P44</f>
        <v>9.1173845729132506</v>
      </c>
    </row>
    <row r="36" spans="3:6" x14ac:dyDescent="0.25">
      <c r="C36">
        <v>10</v>
      </c>
      <c r="D36">
        <f>Summery!S29</f>
        <v>15.849226118637729</v>
      </c>
      <c r="E36">
        <f t="shared" si="0"/>
        <v>1.5849226118637729</v>
      </c>
      <c r="F36">
        <f>'Plot 10'!P21</f>
        <v>6.9844994353242233</v>
      </c>
    </row>
    <row r="38" spans="3:6" ht="30" x14ac:dyDescent="0.25">
      <c r="D38" s="65" t="s">
        <v>163</v>
      </c>
      <c r="E38" s="61">
        <f>AVERAGE(Table1[CO₂ Sequestered (tonnes/ha/year)])</f>
        <v>8.1522548828834882</v>
      </c>
      <c r="F38" s="61" t="s">
        <v>165</v>
      </c>
    </row>
    <row r="39" spans="3:6" x14ac:dyDescent="0.25">
      <c r="D39" s="65" t="s">
        <v>176</v>
      </c>
      <c r="E39" s="61">
        <f>SUM(Table1[Total Adjusted AGB (Kg/plot)])</f>
        <v>359.25678137156211</v>
      </c>
      <c r="F39" s="61" t="s">
        <v>177</v>
      </c>
    </row>
    <row r="40" spans="3:6" x14ac:dyDescent="0.25">
      <c r="D40" s="65"/>
      <c r="E40" s="61"/>
      <c r="F40" s="61"/>
    </row>
    <row r="42" spans="3:6" ht="90.75" customHeight="1" x14ac:dyDescent="0.25">
      <c r="D42" s="75" t="s">
        <v>166</v>
      </c>
      <c r="E42" s="76"/>
      <c r="F42" s="76"/>
    </row>
  </sheetData>
  <mergeCells count="1">
    <mergeCell ref="D42:F42"/>
  </mergeCells>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5"/>
  <sheetViews>
    <sheetView zoomScale="25" zoomScaleNormal="25" workbookViewId="0">
      <selection activeCell="AC56" sqref="AC56"/>
    </sheetView>
  </sheetViews>
  <sheetFormatPr defaultRowHeight="15" x14ac:dyDescent="0.25"/>
  <cols>
    <col min="3" max="3" width="25.140625" customWidth="1"/>
    <col min="4" max="4" width="21.140625" customWidth="1"/>
    <col min="5" max="5" width="10.7109375" customWidth="1"/>
    <col min="6" max="6" width="15.85546875" customWidth="1"/>
    <col min="7" max="7" width="21.42578125" customWidth="1"/>
    <col min="8" max="8" width="15.5703125" customWidth="1"/>
    <col min="10" max="10" width="13.140625" customWidth="1"/>
    <col min="11" max="11" width="13" customWidth="1"/>
    <col min="15" max="15" width="28" style="47" customWidth="1"/>
    <col min="16" max="16" width="21.7109375" customWidth="1"/>
    <col min="17" max="17" width="13.42578125" customWidth="1"/>
    <col min="18" max="19" width="10.85546875" customWidth="1"/>
    <col min="20" max="20" width="11.710937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s="2" customFormat="1" ht="41.25" customHeight="1"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2" t="s">
        <v>168</v>
      </c>
      <c r="T3" s="2" t="s">
        <v>171</v>
      </c>
    </row>
    <row r="4" spans="1:20" x14ac:dyDescent="0.25">
      <c r="A4">
        <v>1</v>
      </c>
      <c r="B4">
        <v>1</v>
      </c>
      <c r="C4" t="str">
        <f>IF(J4=1,"බේරිය",IF(J4=2,"මණ්ඩ",IF(J4=3,"කඩොල්",IF(J4=4,"තෙලකීරිය","හීන් කඩොල්/ ඇවරි කඩොල්"))))</f>
        <v>බේරිය</v>
      </c>
      <c r="D4" s="35" t="str">
        <f>IF(J4=1,"Lumitzera racemosa",IF(J4=2,"Avicenia marina",IF(J4=3,"Rhizophora spp.",IF(J4=4,"Excoecaria agallocha","Aegiceras corniculatum"))))</f>
        <v>Lumitzera racemosa</v>
      </c>
      <c r="E4">
        <v>10.57</v>
      </c>
      <c r="F4">
        <v>0.57999999999999996</v>
      </c>
      <c r="G4" t="s">
        <v>12</v>
      </c>
      <c r="J4">
        <v>1</v>
      </c>
      <c r="K4">
        <v>8</v>
      </c>
      <c r="L4">
        <v>12</v>
      </c>
      <c r="O4" s="48">
        <f>0.251*(IF(J4=1,0.7,IF(J4=2,0.58,IF(J4=3,0.62,IF(J4=4,0.45,0.55))))*E4/10*F4)^0.916</f>
        <v>0.11564750205768382</v>
      </c>
      <c r="P4" s="9">
        <f>O4*IF(G4="A",1,IF(G4="B",0.9,IF(G4="C",0.75,0.5)))</f>
        <v>0.10408275185191544</v>
      </c>
      <c r="R4">
        <f>IF(G4="A",1,IF(G4="B",0.9,IF(G4="C",0.75,0.5)))</f>
        <v>0.9</v>
      </c>
      <c r="T4">
        <f t="shared" ref="T4:T40" si="0">STANDARDIZE(R4,$R$42,$R$43)</f>
        <v>-0.58449445557682711</v>
      </c>
    </row>
    <row r="5" spans="1:20" x14ac:dyDescent="0.25">
      <c r="B5">
        <v>2</v>
      </c>
      <c r="C5" t="str">
        <f t="shared" ref="C5:C40" si="1">IF(J5=1,"බේරිය",IF(J5=2,"මණ්ඩ",IF(J5=3,"කඩොල්",IF(J5=4,"තෙලකීරිය","හීන් කඩොල්/ ඇවරි කඩොල්"))))</f>
        <v>බේරිය</v>
      </c>
      <c r="D5" s="35" t="str">
        <f t="shared" ref="D5:D40" si="2">IF(J5=1,"Lumitzera racemosa",IF(J5=2,"Avicenia marina",IF(J5=3,"Rhizophora spp.",IF(J5=4,"Excoecaria agallocha","Aegiceras corniculatum"))))</f>
        <v>Lumitzera racemosa</v>
      </c>
      <c r="E5">
        <v>6.24</v>
      </c>
      <c r="F5">
        <v>0.55000000000000004</v>
      </c>
      <c r="G5" t="s">
        <v>12</v>
      </c>
      <c r="J5">
        <v>1</v>
      </c>
      <c r="K5">
        <v>6</v>
      </c>
      <c r="L5">
        <v>8</v>
      </c>
      <c r="O5" s="48">
        <f t="shared" ref="O5:O40" si="3">0.251*(IF(J5=1,0.7,IF(J5=2,0.58,IF(J5=3,0.62,IF(J5=4,0.45,0.55))))*E5/10*F5)^0.916</f>
        <v>6.7974314078066644E-2</v>
      </c>
      <c r="P5" s="9">
        <f t="shared" ref="P5:P40" si="4">O5*IF(G5="A",1,IF(G5="B",0.9,IF(G5="C",0.75,0.5)))</f>
        <v>6.1176882670259981E-2</v>
      </c>
      <c r="R5">
        <f t="shared" ref="R5:R40" si="5">IF(G5="A",1,IF(G5="B",0.9,IF(G5="C",0.75,0.5)))</f>
        <v>0.9</v>
      </c>
      <c r="T5">
        <f t="shared" si="0"/>
        <v>-0.58449445557682711</v>
      </c>
    </row>
    <row r="6" spans="1:20" x14ac:dyDescent="0.25">
      <c r="B6">
        <v>2</v>
      </c>
      <c r="C6" t="str">
        <f t="shared" si="1"/>
        <v>බේරිය</v>
      </c>
      <c r="D6" s="35" t="str">
        <f t="shared" si="2"/>
        <v>Lumitzera racemosa</v>
      </c>
      <c r="E6">
        <v>15.46</v>
      </c>
      <c r="F6">
        <v>0.56000000000000005</v>
      </c>
      <c r="G6" t="s">
        <v>12</v>
      </c>
      <c r="J6">
        <v>1</v>
      </c>
      <c r="K6">
        <v>8</v>
      </c>
      <c r="L6">
        <v>6</v>
      </c>
      <c r="O6" s="48">
        <f t="shared" si="3"/>
        <v>0.15864984470621465</v>
      </c>
      <c r="P6" s="9">
        <f t="shared" si="4"/>
        <v>0.1427848602355932</v>
      </c>
      <c r="R6">
        <f t="shared" si="5"/>
        <v>0.9</v>
      </c>
      <c r="T6">
        <f t="shared" si="0"/>
        <v>-0.58449445557682711</v>
      </c>
    </row>
    <row r="7" spans="1:20" x14ac:dyDescent="0.25">
      <c r="B7">
        <v>3</v>
      </c>
      <c r="C7" t="str">
        <f t="shared" si="1"/>
        <v>බේරිය</v>
      </c>
      <c r="D7" s="35" t="str">
        <f t="shared" si="2"/>
        <v>Lumitzera racemosa</v>
      </c>
      <c r="E7">
        <v>8.99</v>
      </c>
      <c r="F7">
        <v>0.43</v>
      </c>
      <c r="G7" t="s">
        <v>12</v>
      </c>
      <c r="J7">
        <v>1</v>
      </c>
      <c r="K7">
        <v>9</v>
      </c>
      <c r="L7">
        <v>7</v>
      </c>
      <c r="O7" s="48">
        <f t="shared" si="3"/>
        <v>7.5802671047601314E-2</v>
      </c>
      <c r="P7" s="9">
        <f t="shared" si="4"/>
        <v>6.8222403942841181E-2</v>
      </c>
      <c r="R7">
        <f t="shared" si="5"/>
        <v>0.9</v>
      </c>
      <c r="T7">
        <f t="shared" si="0"/>
        <v>-0.58449445557682711</v>
      </c>
    </row>
    <row r="8" spans="1:20" x14ac:dyDescent="0.25">
      <c r="B8">
        <v>4</v>
      </c>
      <c r="C8" t="str">
        <f t="shared" si="1"/>
        <v>බේරිය</v>
      </c>
      <c r="D8" s="35" t="str">
        <f t="shared" si="2"/>
        <v>Lumitzera racemosa</v>
      </c>
      <c r="E8">
        <v>7.59</v>
      </c>
      <c r="F8">
        <v>0.56000000000000005</v>
      </c>
      <c r="G8" t="s">
        <v>12</v>
      </c>
      <c r="J8">
        <v>1</v>
      </c>
      <c r="K8">
        <v>6</v>
      </c>
      <c r="L8">
        <v>11</v>
      </c>
      <c r="O8" s="48">
        <f t="shared" si="3"/>
        <v>8.2684713437174595E-2</v>
      </c>
      <c r="P8" s="9">
        <f t="shared" si="4"/>
        <v>7.4416242093457138E-2</v>
      </c>
      <c r="R8">
        <f t="shared" si="5"/>
        <v>0.9</v>
      </c>
      <c r="T8">
        <f t="shared" si="0"/>
        <v>-0.58449445557682711</v>
      </c>
    </row>
    <row r="9" spans="1:20" x14ac:dyDescent="0.25">
      <c r="B9">
        <v>5</v>
      </c>
      <c r="C9" t="str">
        <f t="shared" si="1"/>
        <v>බේරිය</v>
      </c>
      <c r="D9" s="35" t="str">
        <f t="shared" si="2"/>
        <v>Lumitzera racemosa</v>
      </c>
      <c r="E9">
        <v>5.98</v>
      </c>
      <c r="F9">
        <v>0.44</v>
      </c>
      <c r="G9" t="s">
        <v>12</v>
      </c>
      <c r="J9">
        <v>1</v>
      </c>
      <c r="K9">
        <v>4</v>
      </c>
      <c r="L9">
        <v>6</v>
      </c>
      <c r="O9" s="48">
        <f t="shared" si="3"/>
        <v>5.3289845648423852E-2</v>
      </c>
      <c r="P9" s="9">
        <f t="shared" si="4"/>
        <v>4.7960861083581469E-2</v>
      </c>
      <c r="R9">
        <f t="shared" si="5"/>
        <v>0.9</v>
      </c>
      <c r="T9">
        <f t="shared" si="0"/>
        <v>-0.58449445557682711</v>
      </c>
    </row>
    <row r="10" spans="1:20" x14ac:dyDescent="0.25">
      <c r="B10">
        <v>6</v>
      </c>
      <c r="C10" t="str">
        <f t="shared" si="1"/>
        <v>මණ්ඩ</v>
      </c>
      <c r="D10" s="35" t="str">
        <f t="shared" si="2"/>
        <v>Avicenia marina</v>
      </c>
      <c r="E10">
        <v>8.57</v>
      </c>
      <c r="F10">
        <v>0.76</v>
      </c>
      <c r="G10" t="s">
        <v>13</v>
      </c>
      <c r="J10">
        <v>2</v>
      </c>
      <c r="K10">
        <v>3</v>
      </c>
      <c r="L10">
        <v>12</v>
      </c>
      <c r="O10" s="48">
        <f t="shared" si="3"/>
        <v>0.10289859550817332</v>
      </c>
      <c r="P10" s="9">
        <f t="shared" si="4"/>
        <v>0.10289859550817332</v>
      </c>
      <c r="R10">
        <f t="shared" si="5"/>
        <v>1</v>
      </c>
      <c r="T10">
        <f t="shared" si="0"/>
        <v>1.1456091329306042</v>
      </c>
    </row>
    <row r="11" spans="1:20" x14ac:dyDescent="0.25">
      <c r="B11">
        <v>7</v>
      </c>
      <c r="C11" t="str">
        <f t="shared" si="1"/>
        <v>බේරිය</v>
      </c>
      <c r="D11" s="35" t="str">
        <f t="shared" si="2"/>
        <v>Lumitzera racemosa</v>
      </c>
      <c r="E11">
        <v>9.2200000000000006</v>
      </c>
      <c r="F11">
        <v>0.57999999999999996</v>
      </c>
      <c r="G11" t="s">
        <v>13</v>
      </c>
      <c r="J11">
        <v>1</v>
      </c>
      <c r="K11">
        <v>10</v>
      </c>
      <c r="L11">
        <v>7</v>
      </c>
      <c r="O11" s="48">
        <f t="shared" si="3"/>
        <v>0.10204156058474735</v>
      </c>
      <c r="P11" s="9">
        <f t="shared" si="4"/>
        <v>0.10204156058474735</v>
      </c>
      <c r="R11">
        <f t="shared" si="5"/>
        <v>1</v>
      </c>
      <c r="T11">
        <f t="shared" si="0"/>
        <v>1.1456091329306042</v>
      </c>
    </row>
    <row r="12" spans="1:20" x14ac:dyDescent="0.25">
      <c r="B12">
        <v>8</v>
      </c>
      <c r="C12" t="str">
        <f t="shared" si="1"/>
        <v>බේරිය</v>
      </c>
      <c r="D12" s="35" t="str">
        <f t="shared" si="2"/>
        <v>Lumitzera racemosa</v>
      </c>
      <c r="E12">
        <v>8.33</v>
      </c>
      <c r="F12">
        <v>0.41</v>
      </c>
      <c r="G12" t="s">
        <v>12</v>
      </c>
      <c r="J12">
        <v>1</v>
      </c>
      <c r="K12">
        <v>2</v>
      </c>
      <c r="L12">
        <v>7</v>
      </c>
      <c r="O12" s="48">
        <f t="shared" si="3"/>
        <v>6.7671275162013864E-2</v>
      </c>
      <c r="P12" s="9">
        <f t="shared" si="4"/>
        <v>6.0904147645812479E-2</v>
      </c>
      <c r="R12">
        <f t="shared" si="5"/>
        <v>0.9</v>
      </c>
      <c r="T12">
        <f t="shared" si="0"/>
        <v>-0.58449445557682711</v>
      </c>
    </row>
    <row r="13" spans="1:20" x14ac:dyDescent="0.25">
      <c r="B13">
        <v>9</v>
      </c>
      <c r="C13" t="str">
        <f t="shared" si="1"/>
        <v>බේරිය</v>
      </c>
      <c r="D13" s="35" t="str">
        <f t="shared" si="2"/>
        <v>Lumitzera racemosa</v>
      </c>
      <c r="E13">
        <v>13.71</v>
      </c>
      <c r="F13">
        <v>0.81</v>
      </c>
      <c r="G13" t="s">
        <v>12</v>
      </c>
      <c r="J13">
        <v>1</v>
      </c>
      <c r="K13">
        <v>9</v>
      </c>
      <c r="L13">
        <v>13</v>
      </c>
      <c r="O13" s="48">
        <f t="shared" si="3"/>
        <v>0.19928844203358653</v>
      </c>
      <c r="P13" s="9">
        <f t="shared" si="4"/>
        <v>0.1793595978302279</v>
      </c>
      <c r="R13">
        <f t="shared" si="5"/>
        <v>0.9</v>
      </c>
      <c r="T13">
        <f t="shared" si="0"/>
        <v>-0.58449445557682711</v>
      </c>
    </row>
    <row r="14" spans="1:20" x14ac:dyDescent="0.25">
      <c r="B14">
        <v>10</v>
      </c>
      <c r="C14" t="str">
        <f t="shared" si="1"/>
        <v>බේරිය</v>
      </c>
      <c r="D14" s="35" t="str">
        <f t="shared" si="2"/>
        <v>Lumitzera racemosa</v>
      </c>
      <c r="E14">
        <v>15.99</v>
      </c>
      <c r="F14">
        <v>0.66</v>
      </c>
      <c r="G14" t="s">
        <v>12</v>
      </c>
      <c r="J14">
        <v>1</v>
      </c>
      <c r="K14">
        <v>15</v>
      </c>
      <c r="L14">
        <v>6</v>
      </c>
      <c r="O14" s="48">
        <f t="shared" si="3"/>
        <v>0.1902001976392039</v>
      </c>
      <c r="P14" s="9">
        <f t="shared" si="4"/>
        <v>0.1711801778752835</v>
      </c>
      <c r="R14">
        <f t="shared" si="5"/>
        <v>0.9</v>
      </c>
      <c r="T14">
        <f t="shared" si="0"/>
        <v>-0.58449445557682711</v>
      </c>
    </row>
    <row r="15" spans="1:20" x14ac:dyDescent="0.25">
      <c r="B15">
        <v>11</v>
      </c>
      <c r="C15" t="str">
        <f t="shared" si="1"/>
        <v>බේරිය</v>
      </c>
      <c r="D15" s="35" t="str">
        <f t="shared" si="2"/>
        <v>Lumitzera racemosa</v>
      </c>
      <c r="E15">
        <v>11.88</v>
      </c>
      <c r="F15">
        <v>0.75</v>
      </c>
      <c r="G15" t="s">
        <v>12</v>
      </c>
      <c r="J15">
        <v>1</v>
      </c>
      <c r="K15">
        <v>12</v>
      </c>
      <c r="L15">
        <v>11</v>
      </c>
      <c r="O15" s="48">
        <f t="shared" si="3"/>
        <v>0.16288140356538233</v>
      </c>
      <c r="P15" s="9">
        <f t="shared" si="4"/>
        <v>0.14659326320884411</v>
      </c>
      <c r="R15">
        <f t="shared" si="5"/>
        <v>0.9</v>
      </c>
      <c r="T15">
        <f t="shared" si="0"/>
        <v>-0.58449445557682711</v>
      </c>
    </row>
    <row r="16" spans="1:20" x14ac:dyDescent="0.25">
      <c r="B16">
        <v>12</v>
      </c>
      <c r="C16" t="str">
        <f t="shared" si="1"/>
        <v>බේරිය</v>
      </c>
      <c r="D16" s="35" t="str">
        <f t="shared" si="2"/>
        <v>Lumitzera racemosa</v>
      </c>
      <c r="E16">
        <v>13.68</v>
      </c>
      <c r="F16">
        <v>0.76</v>
      </c>
      <c r="G16" t="s">
        <v>12</v>
      </c>
      <c r="J16">
        <v>1</v>
      </c>
      <c r="K16">
        <v>7</v>
      </c>
      <c r="L16">
        <v>13</v>
      </c>
      <c r="O16" s="48">
        <f t="shared" si="3"/>
        <v>0.18761330837263346</v>
      </c>
      <c r="P16" s="9">
        <f t="shared" si="4"/>
        <v>0.16885197753537012</v>
      </c>
      <c r="R16">
        <f t="shared" si="5"/>
        <v>0.9</v>
      </c>
      <c r="T16">
        <f t="shared" si="0"/>
        <v>-0.58449445557682711</v>
      </c>
    </row>
    <row r="17" spans="2:20" x14ac:dyDescent="0.25">
      <c r="B17">
        <v>13</v>
      </c>
      <c r="C17" t="str">
        <f t="shared" si="1"/>
        <v>බේරිය</v>
      </c>
      <c r="D17" s="35" t="str">
        <f t="shared" si="2"/>
        <v>Lumitzera racemosa</v>
      </c>
      <c r="E17">
        <v>8.9</v>
      </c>
      <c r="F17">
        <v>0.64</v>
      </c>
      <c r="G17" t="s">
        <v>13</v>
      </c>
      <c r="J17">
        <v>1</v>
      </c>
      <c r="K17">
        <v>8</v>
      </c>
      <c r="L17">
        <v>10</v>
      </c>
      <c r="O17" s="48">
        <f t="shared" si="3"/>
        <v>0.10811491927704252</v>
      </c>
      <c r="P17" s="9">
        <f t="shared" si="4"/>
        <v>0.10811491927704252</v>
      </c>
      <c r="R17">
        <f t="shared" si="5"/>
        <v>1</v>
      </c>
      <c r="T17">
        <f t="shared" si="0"/>
        <v>1.1456091329306042</v>
      </c>
    </row>
    <row r="18" spans="2:20" x14ac:dyDescent="0.25">
      <c r="B18">
        <v>14</v>
      </c>
      <c r="C18" t="str">
        <f t="shared" si="1"/>
        <v>බේරිය</v>
      </c>
      <c r="D18" s="35" t="str">
        <f t="shared" si="2"/>
        <v>Lumitzera racemosa</v>
      </c>
      <c r="E18">
        <v>6.93</v>
      </c>
      <c r="F18">
        <v>0.48</v>
      </c>
      <c r="G18" t="s">
        <v>13</v>
      </c>
      <c r="J18">
        <v>1</v>
      </c>
      <c r="K18">
        <v>8</v>
      </c>
      <c r="L18">
        <v>10</v>
      </c>
      <c r="O18" s="48">
        <f t="shared" si="3"/>
        <v>6.6055980361925851E-2</v>
      </c>
      <c r="P18" s="9">
        <f t="shared" si="4"/>
        <v>6.6055980361925851E-2</v>
      </c>
      <c r="R18">
        <f t="shared" si="5"/>
        <v>1</v>
      </c>
      <c r="T18">
        <f t="shared" si="0"/>
        <v>1.1456091329306042</v>
      </c>
    </row>
    <row r="19" spans="2:20" x14ac:dyDescent="0.25">
      <c r="B19">
        <v>15</v>
      </c>
      <c r="C19" t="str">
        <f t="shared" si="1"/>
        <v>බේරිය</v>
      </c>
      <c r="D19" s="35" t="str">
        <f t="shared" si="2"/>
        <v>Lumitzera racemosa</v>
      </c>
      <c r="E19">
        <v>22.9</v>
      </c>
      <c r="F19">
        <v>1.42</v>
      </c>
      <c r="G19" t="s">
        <v>13</v>
      </c>
      <c r="J19">
        <v>1</v>
      </c>
      <c r="K19">
        <v>3</v>
      </c>
      <c r="L19">
        <v>11</v>
      </c>
      <c r="O19" s="48">
        <f t="shared" si="3"/>
        <v>0.5331985398165271</v>
      </c>
      <c r="P19" s="9">
        <f t="shared" si="4"/>
        <v>0.5331985398165271</v>
      </c>
      <c r="R19">
        <f t="shared" si="5"/>
        <v>1</v>
      </c>
      <c r="T19">
        <f t="shared" si="0"/>
        <v>1.1456091329306042</v>
      </c>
    </row>
    <row r="20" spans="2:20" x14ac:dyDescent="0.25">
      <c r="B20">
        <v>16</v>
      </c>
      <c r="C20" t="str">
        <f t="shared" si="1"/>
        <v>කඩොල්</v>
      </c>
      <c r="D20" s="35" t="str">
        <f t="shared" si="2"/>
        <v>Rhizophora spp.</v>
      </c>
      <c r="E20">
        <v>6.1</v>
      </c>
      <c r="F20">
        <v>0.43</v>
      </c>
      <c r="G20" t="s">
        <v>13</v>
      </c>
      <c r="J20">
        <v>3</v>
      </c>
      <c r="K20">
        <v>1</v>
      </c>
      <c r="L20">
        <v>1</v>
      </c>
      <c r="O20" s="48">
        <f t="shared" si="3"/>
        <v>4.7547068219413346E-2</v>
      </c>
      <c r="P20" s="9">
        <f t="shared" si="4"/>
        <v>4.7547068219413346E-2</v>
      </c>
      <c r="R20">
        <f t="shared" si="5"/>
        <v>1</v>
      </c>
      <c r="T20">
        <f t="shared" si="0"/>
        <v>1.1456091329306042</v>
      </c>
    </row>
    <row r="21" spans="2:20" x14ac:dyDescent="0.25">
      <c r="B21">
        <v>17</v>
      </c>
      <c r="C21" t="str">
        <f t="shared" si="1"/>
        <v>බේරිය</v>
      </c>
      <c r="D21" s="35" t="str">
        <f t="shared" si="2"/>
        <v>Lumitzera racemosa</v>
      </c>
      <c r="E21">
        <v>11.81</v>
      </c>
      <c r="F21">
        <v>0.66</v>
      </c>
      <c r="G21" t="s">
        <v>12</v>
      </c>
      <c r="J21">
        <v>1</v>
      </c>
      <c r="K21">
        <v>4</v>
      </c>
      <c r="L21">
        <v>5</v>
      </c>
      <c r="O21" s="48">
        <f t="shared" si="3"/>
        <v>0.14410089470507867</v>
      </c>
      <c r="P21" s="9">
        <f t="shared" si="4"/>
        <v>0.1296908052345708</v>
      </c>
      <c r="R21">
        <f t="shared" si="5"/>
        <v>0.9</v>
      </c>
      <c r="T21">
        <f t="shared" si="0"/>
        <v>-0.58449445557682711</v>
      </c>
    </row>
    <row r="22" spans="2:20" x14ac:dyDescent="0.25">
      <c r="B22">
        <v>18</v>
      </c>
      <c r="C22" t="str">
        <f t="shared" si="1"/>
        <v>බේරිය</v>
      </c>
      <c r="D22" s="35" t="str">
        <f t="shared" si="2"/>
        <v>Lumitzera racemosa</v>
      </c>
      <c r="E22">
        <v>10.48</v>
      </c>
      <c r="F22">
        <v>0.66</v>
      </c>
      <c r="G22" t="s">
        <v>12</v>
      </c>
      <c r="J22">
        <v>1</v>
      </c>
      <c r="K22">
        <v>4</v>
      </c>
      <c r="L22">
        <v>6</v>
      </c>
      <c r="O22" s="48">
        <f t="shared" si="3"/>
        <v>0.12916257839622264</v>
      </c>
      <c r="P22" s="9">
        <f t="shared" si="4"/>
        <v>0.11624632055660038</v>
      </c>
      <c r="R22">
        <f t="shared" si="5"/>
        <v>0.9</v>
      </c>
      <c r="T22">
        <f t="shared" si="0"/>
        <v>-0.58449445557682711</v>
      </c>
    </row>
    <row r="23" spans="2:20" x14ac:dyDescent="0.25">
      <c r="B23">
        <v>19</v>
      </c>
      <c r="C23" t="str">
        <f t="shared" si="1"/>
        <v>කඩොල්</v>
      </c>
      <c r="D23" s="35" t="str">
        <f t="shared" si="2"/>
        <v>Rhizophora spp.</v>
      </c>
      <c r="E23">
        <v>7.85</v>
      </c>
      <c r="F23">
        <v>0.43</v>
      </c>
      <c r="G23" t="s">
        <v>12</v>
      </c>
      <c r="J23">
        <v>3</v>
      </c>
      <c r="K23">
        <v>11</v>
      </c>
      <c r="L23">
        <v>1</v>
      </c>
      <c r="O23" s="48">
        <f t="shared" si="3"/>
        <v>5.990488240225094E-2</v>
      </c>
      <c r="P23" s="9">
        <f t="shared" si="4"/>
        <v>5.3914394162025849E-2</v>
      </c>
      <c r="R23">
        <f t="shared" si="5"/>
        <v>0.9</v>
      </c>
      <c r="T23">
        <f t="shared" si="0"/>
        <v>-0.58449445557682711</v>
      </c>
    </row>
    <row r="24" spans="2:20" x14ac:dyDescent="0.25">
      <c r="B24">
        <v>21</v>
      </c>
      <c r="C24" t="str">
        <f t="shared" si="1"/>
        <v>බේරිය</v>
      </c>
      <c r="D24" s="35" t="str">
        <f t="shared" si="2"/>
        <v>Lumitzera racemosa</v>
      </c>
      <c r="E24">
        <v>10.97</v>
      </c>
      <c r="F24">
        <v>0.64</v>
      </c>
      <c r="G24" t="s">
        <v>13</v>
      </c>
      <c r="J24">
        <v>1</v>
      </c>
      <c r="K24">
        <v>10</v>
      </c>
      <c r="L24">
        <v>5</v>
      </c>
      <c r="O24" s="48">
        <f t="shared" si="3"/>
        <v>0.13094039694885193</v>
      </c>
      <c r="P24" s="9">
        <f t="shared" si="4"/>
        <v>0.13094039694885193</v>
      </c>
      <c r="R24">
        <f t="shared" si="5"/>
        <v>1</v>
      </c>
      <c r="T24">
        <f t="shared" si="0"/>
        <v>1.1456091329306042</v>
      </c>
    </row>
    <row r="25" spans="2:20" x14ac:dyDescent="0.25">
      <c r="B25">
        <v>22</v>
      </c>
      <c r="C25" t="str">
        <f t="shared" si="1"/>
        <v>බේරිය</v>
      </c>
      <c r="D25" s="35" t="str">
        <f t="shared" si="2"/>
        <v>Lumitzera racemosa</v>
      </c>
      <c r="E25">
        <v>6.8</v>
      </c>
      <c r="F25">
        <v>0.41</v>
      </c>
      <c r="G25" t="s">
        <v>13</v>
      </c>
      <c r="J25">
        <v>1</v>
      </c>
      <c r="K25">
        <v>6</v>
      </c>
      <c r="L25">
        <v>7</v>
      </c>
      <c r="O25" s="48">
        <f t="shared" si="3"/>
        <v>5.6191639404929106E-2</v>
      </c>
      <c r="P25" s="9">
        <f t="shared" si="4"/>
        <v>5.6191639404929106E-2</v>
      </c>
      <c r="R25">
        <f t="shared" si="5"/>
        <v>1</v>
      </c>
      <c r="T25">
        <f t="shared" si="0"/>
        <v>1.1456091329306042</v>
      </c>
    </row>
    <row r="26" spans="2:20" x14ac:dyDescent="0.25">
      <c r="B26">
        <v>23</v>
      </c>
      <c r="C26" t="str">
        <f t="shared" si="1"/>
        <v>බේරිය</v>
      </c>
      <c r="D26" s="35" t="str">
        <f t="shared" si="2"/>
        <v>Lumitzera racemosa</v>
      </c>
      <c r="E26">
        <v>9.41</v>
      </c>
      <c r="F26">
        <v>0.71</v>
      </c>
      <c r="G26" t="s">
        <v>12</v>
      </c>
      <c r="J26">
        <v>1</v>
      </c>
      <c r="K26">
        <v>7</v>
      </c>
      <c r="L26">
        <v>8</v>
      </c>
      <c r="O26" s="48">
        <f t="shared" si="3"/>
        <v>0.12512505132201171</v>
      </c>
      <c r="P26" s="9">
        <f t="shared" si="4"/>
        <v>0.11261254618981054</v>
      </c>
      <c r="R26">
        <f t="shared" si="5"/>
        <v>0.9</v>
      </c>
      <c r="T26">
        <f t="shared" si="0"/>
        <v>-0.58449445557682711</v>
      </c>
    </row>
    <row r="27" spans="2:20" x14ac:dyDescent="0.25">
      <c r="B27">
        <v>24</v>
      </c>
      <c r="C27" t="str">
        <f t="shared" si="1"/>
        <v>බේරිය</v>
      </c>
      <c r="D27" s="35" t="str">
        <f t="shared" si="2"/>
        <v>Lumitzera racemosa</v>
      </c>
      <c r="E27">
        <v>4.3</v>
      </c>
      <c r="F27">
        <v>0.41</v>
      </c>
      <c r="G27" t="s">
        <v>13</v>
      </c>
      <c r="J27">
        <v>1</v>
      </c>
      <c r="K27">
        <v>6</v>
      </c>
      <c r="L27">
        <v>1</v>
      </c>
      <c r="O27" s="48">
        <f t="shared" si="3"/>
        <v>3.6927562699165112E-2</v>
      </c>
      <c r="P27" s="9">
        <f t="shared" si="4"/>
        <v>3.6927562699165112E-2</v>
      </c>
      <c r="R27">
        <f t="shared" si="5"/>
        <v>1</v>
      </c>
      <c r="T27">
        <f t="shared" si="0"/>
        <v>1.1456091329306042</v>
      </c>
    </row>
    <row r="28" spans="2:20" x14ac:dyDescent="0.25">
      <c r="B28">
        <v>25</v>
      </c>
      <c r="C28" t="str">
        <f t="shared" si="1"/>
        <v>බේරිය</v>
      </c>
      <c r="D28" s="35" t="str">
        <f t="shared" si="2"/>
        <v>Lumitzera racemosa</v>
      </c>
      <c r="E28">
        <v>5.75</v>
      </c>
      <c r="F28">
        <v>0.46</v>
      </c>
      <c r="G28" t="s">
        <v>12</v>
      </c>
      <c r="J28">
        <v>1</v>
      </c>
      <c r="K28">
        <v>6</v>
      </c>
      <c r="L28">
        <v>2</v>
      </c>
      <c r="O28" s="48">
        <f t="shared" si="3"/>
        <v>5.3545804212997192E-2</v>
      </c>
      <c r="P28" s="9">
        <f t="shared" si="4"/>
        <v>4.8191223791697477E-2</v>
      </c>
      <c r="R28">
        <f t="shared" si="5"/>
        <v>0.9</v>
      </c>
      <c r="T28">
        <f t="shared" si="0"/>
        <v>-0.58449445557682711</v>
      </c>
    </row>
    <row r="29" spans="2:20" x14ac:dyDescent="0.25">
      <c r="B29">
        <v>26</v>
      </c>
      <c r="C29" t="str">
        <f t="shared" si="1"/>
        <v>බේරිය</v>
      </c>
      <c r="D29" s="35" t="str">
        <f t="shared" si="2"/>
        <v>Lumitzera racemosa</v>
      </c>
      <c r="E29">
        <v>5.34</v>
      </c>
      <c r="F29">
        <v>0.41</v>
      </c>
      <c r="G29" t="s">
        <v>13</v>
      </c>
      <c r="J29">
        <v>1</v>
      </c>
      <c r="K29">
        <v>6</v>
      </c>
      <c r="L29">
        <v>6</v>
      </c>
      <c r="O29" s="48">
        <f t="shared" si="3"/>
        <v>4.5032009816893058E-2</v>
      </c>
      <c r="P29" s="9">
        <f t="shared" si="4"/>
        <v>4.5032009816893058E-2</v>
      </c>
      <c r="R29">
        <f t="shared" si="5"/>
        <v>1</v>
      </c>
      <c r="T29">
        <f t="shared" si="0"/>
        <v>1.1456091329306042</v>
      </c>
    </row>
    <row r="30" spans="2:20" x14ac:dyDescent="0.25">
      <c r="B30">
        <v>27</v>
      </c>
      <c r="C30" t="str">
        <f t="shared" si="1"/>
        <v>බේරිය</v>
      </c>
      <c r="D30" s="35" t="str">
        <f t="shared" si="2"/>
        <v>Lumitzera racemosa</v>
      </c>
      <c r="E30">
        <v>4.9800000000000004</v>
      </c>
      <c r="F30">
        <v>0.36</v>
      </c>
      <c r="G30" t="s">
        <v>13</v>
      </c>
      <c r="J30">
        <v>1</v>
      </c>
      <c r="K30">
        <v>6</v>
      </c>
      <c r="L30">
        <v>1</v>
      </c>
      <c r="O30" s="48">
        <f t="shared" si="3"/>
        <v>3.7498914382284122E-2</v>
      </c>
      <c r="P30" s="9">
        <f t="shared" si="4"/>
        <v>3.7498914382284122E-2</v>
      </c>
      <c r="R30">
        <f t="shared" si="5"/>
        <v>1</v>
      </c>
      <c r="T30">
        <f t="shared" si="0"/>
        <v>1.1456091329306042</v>
      </c>
    </row>
    <row r="31" spans="2:20" x14ac:dyDescent="0.25">
      <c r="B31">
        <v>28</v>
      </c>
      <c r="C31" t="str">
        <f t="shared" si="1"/>
        <v>බේරිය</v>
      </c>
      <c r="D31" s="35" t="str">
        <f t="shared" si="2"/>
        <v>Lumitzera racemosa</v>
      </c>
      <c r="E31">
        <v>11.93</v>
      </c>
      <c r="F31">
        <v>1.0900000000000001</v>
      </c>
      <c r="G31" t="s">
        <v>12</v>
      </c>
      <c r="J31">
        <v>1</v>
      </c>
      <c r="K31">
        <v>8</v>
      </c>
      <c r="L31">
        <v>9</v>
      </c>
      <c r="O31" s="48">
        <f t="shared" si="3"/>
        <v>0.23028669376743813</v>
      </c>
      <c r="P31" s="9">
        <f t="shared" si="4"/>
        <v>0.20725802439069432</v>
      </c>
      <c r="R31">
        <f t="shared" si="5"/>
        <v>0.9</v>
      </c>
      <c r="T31">
        <f t="shared" si="0"/>
        <v>-0.58449445557682711</v>
      </c>
    </row>
    <row r="32" spans="2:20" x14ac:dyDescent="0.25">
      <c r="B32">
        <v>29</v>
      </c>
      <c r="C32" t="str">
        <f t="shared" si="1"/>
        <v>බේරිය</v>
      </c>
      <c r="D32" s="35" t="str">
        <f t="shared" si="2"/>
        <v>Lumitzera racemosa</v>
      </c>
      <c r="E32">
        <v>9.7100000000000009</v>
      </c>
      <c r="F32">
        <v>0.61</v>
      </c>
      <c r="G32" t="s">
        <v>12</v>
      </c>
      <c r="J32">
        <v>1</v>
      </c>
      <c r="K32">
        <v>9</v>
      </c>
      <c r="L32">
        <v>6</v>
      </c>
      <c r="O32" s="48">
        <f t="shared" si="3"/>
        <v>0.11205686538628494</v>
      </c>
      <c r="P32" s="9">
        <f t="shared" si="4"/>
        <v>0.10085117884765644</v>
      </c>
      <c r="R32">
        <f t="shared" si="5"/>
        <v>0.9</v>
      </c>
      <c r="T32">
        <f t="shared" si="0"/>
        <v>-0.58449445557682711</v>
      </c>
    </row>
    <row r="33" spans="2:20" x14ac:dyDescent="0.25">
      <c r="B33">
        <v>30</v>
      </c>
      <c r="C33" t="str">
        <f t="shared" si="1"/>
        <v>බේරිය</v>
      </c>
      <c r="D33" s="35" t="str">
        <f t="shared" si="2"/>
        <v>Lumitzera racemosa</v>
      </c>
      <c r="E33">
        <v>11.7</v>
      </c>
      <c r="F33">
        <v>0.84</v>
      </c>
      <c r="G33" t="s">
        <v>12</v>
      </c>
      <c r="J33">
        <v>1</v>
      </c>
      <c r="K33">
        <v>10</v>
      </c>
      <c r="L33">
        <v>4</v>
      </c>
      <c r="O33" s="48">
        <f t="shared" si="3"/>
        <v>0.17818929170143538</v>
      </c>
      <c r="P33" s="9">
        <f t="shared" si="4"/>
        <v>0.16037036253129186</v>
      </c>
      <c r="R33">
        <f t="shared" si="5"/>
        <v>0.9</v>
      </c>
      <c r="T33">
        <f t="shared" si="0"/>
        <v>-0.58449445557682711</v>
      </c>
    </row>
    <row r="34" spans="2:20" x14ac:dyDescent="0.25">
      <c r="B34">
        <v>31</v>
      </c>
      <c r="C34" t="str">
        <f t="shared" si="1"/>
        <v>බේරිය</v>
      </c>
      <c r="D34" s="35" t="str">
        <f t="shared" si="2"/>
        <v>Lumitzera racemosa</v>
      </c>
      <c r="E34">
        <v>14.8</v>
      </c>
      <c r="F34">
        <v>0.93</v>
      </c>
      <c r="G34" t="s">
        <v>13</v>
      </c>
      <c r="J34">
        <v>1</v>
      </c>
      <c r="K34">
        <v>11</v>
      </c>
      <c r="L34">
        <v>5</v>
      </c>
      <c r="O34" s="48">
        <f t="shared" si="3"/>
        <v>0.24259041548547933</v>
      </c>
      <c r="P34" s="9">
        <f t="shared" si="4"/>
        <v>0.24259041548547933</v>
      </c>
      <c r="R34">
        <f t="shared" si="5"/>
        <v>1</v>
      </c>
      <c r="T34">
        <f t="shared" si="0"/>
        <v>1.1456091329306042</v>
      </c>
    </row>
    <row r="35" spans="2:20" x14ac:dyDescent="0.25">
      <c r="B35">
        <v>32</v>
      </c>
      <c r="C35" t="str">
        <f t="shared" si="1"/>
        <v>බේරිය</v>
      </c>
      <c r="D35" s="35" t="str">
        <f t="shared" si="2"/>
        <v>Lumitzera racemosa</v>
      </c>
      <c r="E35">
        <v>1327</v>
      </c>
      <c r="F35">
        <v>0.89</v>
      </c>
      <c r="G35" t="s">
        <v>12</v>
      </c>
      <c r="J35">
        <v>1</v>
      </c>
      <c r="K35">
        <v>15</v>
      </c>
      <c r="L35">
        <v>5</v>
      </c>
      <c r="O35" s="48">
        <f t="shared" si="3"/>
        <v>14.321039333833461</v>
      </c>
      <c r="P35" s="9">
        <f t="shared" si="4"/>
        <v>12.888935400450116</v>
      </c>
      <c r="R35">
        <f t="shared" si="5"/>
        <v>0.9</v>
      </c>
      <c r="T35">
        <f t="shared" si="0"/>
        <v>-0.58449445557682711</v>
      </c>
    </row>
    <row r="36" spans="2:20" x14ac:dyDescent="0.25">
      <c r="B36">
        <v>33</v>
      </c>
      <c r="C36" t="str">
        <f t="shared" si="1"/>
        <v>බේරිය</v>
      </c>
      <c r="D36" s="35" t="str">
        <f t="shared" si="2"/>
        <v>Lumitzera racemosa</v>
      </c>
      <c r="E36">
        <v>10.3</v>
      </c>
      <c r="F36">
        <v>1.07</v>
      </c>
      <c r="G36" t="s">
        <v>13</v>
      </c>
      <c r="J36">
        <v>1</v>
      </c>
      <c r="K36">
        <v>9</v>
      </c>
      <c r="L36">
        <v>13</v>
      </c>
      <c r="O36" s="48">
        <f t="shared" si="3"/>
        <v>0.19790554577609998</v>
      </c>
      <c r="P36" s="9">
        <f t="shared" si="4"/>
        <v>0.19790554577609998</v>
      </c>
      <c r="R36">
        <f t="shared" si="5"/>
        <v>1</v>
      </c>
      <c r="T36">
        <f t="shared" si="0"/>
        <v>1.1456091329306042</v>
      </c>
    </row>
    <row r="37" spans="2:20" x14ac:dyDescent="0.25">
      <c r="B37">
        <v>34</v>
      </c>
      <c r="C37" t="str">
        <f t="shared" si="1"/>
        <v>තෙලකීරිය</v>
      </c>
      <c r="D37" s="35" t="str">
        <f t="shared" si="2"/>
        <v>Excoecaria agallocha</v>
      </c>
      <c r="E37">
        <v>15.4</v>
      </c>
      <c r="F37">
        <v>0.91</v>
      </c>
      <c r="G37" t="s">
        <v>14</v>
      </c>
      <c r="J37">
        <v>4</v>
      </c>
      <c r="K37">
        <v>7</v>
      </c>
      <c r="L37">
        <v>3</v>
      </c>
      <c r="O37" s="48">
        <f t="shared" si="3"/>
        <v>0.16453840375677153</v>
      </c>
      <c r="P37" s="9">
        <f t="shared" si="4"/>
        <v>0.12340380281757865</v>
      </c>
      <c r="R37">
        <f t="shared" si="5"/>
        <v>0.75</v>
      </c>
      <c r="T37">
        <f t="shared" si="0"/>
        <v>-3.179649838337975</v>
      </c>
    </row>
    <row r="38" spans="2:20" x14ac:dyDescent="0.25">
      <c r="B38">
        <v>35</v>
      </c>
      <c r="C38" t="str">
        <f t="shared" si="1"/>
        <v>තෙලකීරිය</v>
      </c>
      <c r="D38" s="35" t="str">
        <f t="shared" si="2"/>
        <v>Excoecaria agallocha</v>
      </c>
      <c r="E38">
        <v>19.8</v>
      </c>
      <c r="F38">
        <v>0.99</v>
      </c>
      <c r="G38" t="s">
        <v>13</v>
      </c>
      <c r="J38">
        <v>4</v>
      </c>
      <c r="K38">
        <v>1</v>
      </c>
      <c r="L38">
        <v>3</v>
      </c>
      <c r="O38" s="48">
        <f t="shared" si="3"/>
        <v>0.2237502538110987</v>
      </c>
      <c r="P38" s="9">
        <f t="shared" si="4"/>
        <v>0.2237502538110987</v>
      </c>
      <c r="R38">
        <f t="shared" si="5"/>
        <v>1</v>
      </c>
      <c r="T38">
        <f t="shared" si="0"/>
        <v>1.1456091329306042</v>
      </c>
    </row>
    <row r="39" spans="2:20" x14ac:dyDescent="0.25">
      <c r="B39">
        <v>36</v>
      </c>
      <c r="C39" t="str">
        <f t="shared" si="1"/>
        <v>තෙලකීරිය</v>
      </c>
      <c r="D39" s="35" t="str">
        <f t="shared" si="2"/>
        <v>Excoecaria agallocha</v>
      </c>
      <c r="E39">
        <v>14.8</v>
      </c>
      <c r="F39">
        <v>0.76</v>
      </c>
      <c r="G39" t="s">
        <v>12</v>
      </c>
      <c r="J39">
        <v>4</v>
      </c>
      <c r="K39">
        <v>4</v>
      </c>
      <c r="L39">
        <v>1</v>
      </c>
      <c r="O39" s="48">
        <f t="shared" si="3"/>
        <v>0.13452449361668103</v>
      </c>
      <c r="P39" s="9">
        <f t="shared" si="4"/>
        <v>0.12107204425501293</v>
      </c>
      <c r="R39">
        <f t="shared" si="5"/>
        <v>0.9</v>
      </c>
      <c r="T39">
        <f t="shared" si="0"/>
        <v>-0.58449445557682711</v>
      </c>
    </row>
    <row r="40" spans="2:20" x14ac:dyDescent="0.25">
      <c r="B40">
        <v>37</v>
      </c>
      <c r="C40" t="str">
        <f t="shared" si="1"/>
        <v>හීන් කඩොල්/ ඇවරි කඩොල්</v>
      </c>
      <c r="D40" s="35" t="str">
        <f t="shared" si="2"/>
        <v>Aegiceras corniculatum</v>
      </c>
      <c r="E40">
        <v>12.8</v>
      </c>
      <c r="F40">
        <v>0.94</v>
      </c>
      <c r="G40" t="s">
        <v>12</v>
      </c>
      <c r="J40">
        <v>5</v>
      </c>
      <c r="K40">
        <v>1</v>
      </c>
      <c r="L40">
        <v>13</v>
      </c>
      <c r="O40" s="48">
        <f t="shared" si="3"/>
        <v>0.17196314971545304</v>
      </c>
      <c r="P40" s="9">
        <f t="shared" si="4"/>
        <v>0.15476683474390773</v>
      </c>
      <c r="R40">
        <f t="shared" si="5"/>
        <v>0.9</v>
      </c>
      <c r="T40">
        <f t="shared" si="0"/>
        <v>-0.58449445557682711</v>
      </c>
    </row>
    <row r="42" spans="2:20" ht="45" x14ac:dyDescent="0.25">
      <c r="O42" s="25" t="s">
        <v>106</v>
      </c>
      <c r="P42" s="23">
        <f>SUM(P4:P40)</f>
        <v>17.373539506036774</v>
      </c>
      <c r="Q42" s="66" t="s">
        <v>169</v>
      </c>
      <c r="R42">
        <f>AVERAGE(R4:R40)</f>
        <v>0.93378378378378335</v>
      </c>
    </row>
    <row r="43" spans="2:20" x14ac:dyDescent="0.25">
      <c r="Q43" t="s">
        <v>170</v>
      </c>
      <c r="R43">
        <f>STDEV(R4:R40)</f>
        <v>5.7800007273709236E-2</v>
      </c>
    </row>
    <row r="45" spans="2:20" x14ac:dyDescent="0.25">
      <c r="O45" s="27" t="s">
        <v>97</v>
      </c>
      <c r="P45" s="21"/>
    </row>
    <row r="46" spans="2:20" x14ac:dyDescent="0.25">
      <c r="O46" s="27" t="s">
        <v>107</v>
      </c>
      <c r="P46" s="21">
        <f>P42*1.24</f>
        <v>21.5431889874856</v>
      </c>
    </row>
    <row r="49" spans="15:17" x14ac:dyDescent="0.25">
      <c r="O49" s="27" t="s">
        <v>109</v>
      </c>
      <c r="P49" s="21"/>
      <c r="Q49" s="21"/>
    </row>
    <row r="50" spans="15:17" x14ac:dyDescent="0.25">
      <c r="O50" s="27" t="s">
        <v>108</v>
      </c>
      <c r="P50" s="21">
        <f>P46*1.2</f>
        <v>25.85182678498272</v>
      </c>
      <c r="Q50" s="21"/>
    </row>
    <row r="51" spans="15:17" x14ac:dyDescent="0.25">
      <c r="O51" s="27"/>
      <c r="P51" s="21"/>
      <c r="Q51" s="21"/>
    </row>
    <row r="53" spans="15:17" ht="30" x14ac:dyDescent="0.25">
      <c r="O53" s="49" t="s">
        <v>135</v>
      </c>
      <c r="P53" s="44" t="s">
        <v>136</v>
      </c>
    </row>
    <row r="54" spans="15:17" x14ac:dyDescent="0.25">
      <c r="O54" s="50" t="s">
        <v>138</v>
      </c>
      <c r="P54" s="45">
        <f>1.83*P46</f>
        <v>39.424035847098651</v>
      </c>
    </row>
    <row r="55" spans="15:17" x14ac:dyDescent="0.25">
      <c r="O55" s="51"/>
      <c r="P55" s="8"/>
    </row>
  </sheetData>
  <mergeCells count="2">
    <mergeCell ref="A1:L1"/>
    <mergeCell ref="A2:L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8"/>
  <sheetViews>
    <sheetView zoomScale="25" zoomScaleNormal="25" workbookViewId="0">
      <selection activeCell="V25" sqref="V25"/>
    </sheetView>
  </sheetViews>
  <sheetFormatPr defaultRowHeight="15" x14ac:dyDescent="0.25"/>
  <cols>
    <col min="3" max="3" width="19.140625" customWidth="1"/>
    <col min="4" max="4" width="21.28515625" customWidth="1"/>
    <col min="5" max="5" width="19.5703125" customWidth="1"/>
    <col min="6" max="6" width="18.28515625" customWidth="1"/>
    <col min="7" max="7" width="18.7109375" customWidth="1"/>
    <col min="8" max="8" width="16.140625" customWidth="1"/>
    <col min="11" max="11" width="14.7109375" customWidth="1"/>
    <col min="12" max="12" width="14.140625" customWidth="1"/>
    <col min="15" max="15" width="24.5703125" customWidth="1"/>
    <col min="16" max="16" width="18" customWidth="1"/>
    <col min="17" max="17" width="13.42578125" customWidth="1"/>
    <col min="18" max="18" width="12" customWidth="1"/>
    <col min="20" max="20" width="16.5703125" bestFit="1"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45" x14ac:dyDescent="0.25">
      <c r="A3" s="2" t="s">
        <v>0</v>
      </c>
      <c r="B3" s="2" t="s">
        <v>1</v>
      </c>
      <c r="C3" s="2" t="s">
        <v>2</v>
      </c>
      <c r="D3" s="2" t="s">
        <v>3</v>
      </c>
      <c r="E3" s="2" t="s">
        <v>4</v>
      </c>
      <c r="F3" s="2" t="s">
        <v>10</v>
      </c>
      <c r="G3" s="2" t="s">
        <v>11</v>
      </c>
      <c r="H3" s="1" t="s">
        <v>5</v>
      </c>
      <c r="I3" s="2" t="s">
        <v>6</v>
      </c>
      <c r="J3" s="2" t="s">
        <v>7</v>
      </c>
      <c r="K3" s="2" t="s">
        <v>8</v>
      </c>
      <c r="L3" s="2" t="s">
        <v>9</v>
      </c>
      <c r="O3" s="9" t="s">
        <v>79</v>
      </c>
      <c r="P3" s="20" t="s">
        <v>80</v>
      </c>
      <c r="R3" s="66" t="s">
        <v>168</v>
      </c>
      <c r="T3" s="66" t="s">
        <v>171</v>
      </c>
    </row>
    <row r="4" spans="1:20" x14ac:dyDescent="0.25">
      <c r="A4">
        <v>2</v>
      </c>
      <c r="B4">
        <v>38</v>
      </c>
      <c r="C4" t="str">
        <f>IF(J4=1,"බේරිය",IF(J4=2,"මණ්ඩ",IF(J4=3,"කඩොල්",IF(J4=4,"තෙලකීරිය","හීන් කඩොල්/ ඇවරි කඩොල්"))))</f>
        <v>තෙලකීරිය</v>
      </c>
      <c r="D4" s="35" t="str">
        <f t="shared" ref="D4:D24" si="0">IF(J4=1,"Lumitzera racemosa",IF(J4=2,"Avicenia marina",IF(J4=3,"Rhizophora spp.",IF(J4=4,"Excoecaria agallocha","Aegiceras corniculatum"))))</f>
        <v>Excoecaria agallocha</v>
      </c>
      <c r="E4">
        <v>40.78</v>
      </c>
      <c r="F4">
        <v>2.38</v>
      </c>
      <c r="G4" t="s">
        <v>13</v>
      </c>
      <c r="J4">
        <v>4</v>
      </c>
      <c r="K4">
        <v>11</v>
      </c>
      <c r="L4">
        <v>7</v>
      </c>
      <c r="O4" s="9">
        <f>0.251*(IF(J4=1,0.7,IF(J4=2,0.58,IF(J4=3,0.62,IF(J4=4,0.45,0.55))))*E4/10*F4)^0.916</f>
        <v>0.9685689257150264</v>
      </c>
      <c r="P4" s="9">
        <f>O4*IF(G4="A",1,IF(G4="B",0.9,IF(G4="C",0.75,0.5)))</f>
        <v>0.9685689257150264</v>
      </c>
      <c r="R4">
        <f>IF(G4="A",1,IF(G4="B",0.9,IF(G4="C",0.75,0.5)))</f>
        <v>1</v>
      </c>
      <c r="T4">
        <f>STANDARDIZE(R4,$R$26,$R$27)</f>
        <v>0.56659269967006998</v>
      </c>
    </row>
    <row r="5" spans="1:20" x14ac:dyDescent="0.25">
      <c r="B5">
        <v>39</v>
      </c>
      <c r="C5" t="str">
        <f t="shared" ref="C5:C24" si="1">IF(J5=1,"බේරිය",IF(J5=2,"මණ්ඩ",IF(J5=3,"කඩොල්",IF(J5=4,"තෙලකීරිය","හීන් කඩොල්/ ඇවරි කඩොල්"))))</f>
        <v>බේරිය</v>
      </c>
      <c r="D5" s="35" t="str">
        <f t="shared" si="0"/>
        <v>Lumitzera racemosa</v>
      </c>
      <c r="E5">
        <v>17.899999999999999</v>
      </c>
      <c r="F5">
        <v>3.81</v>
      </c>
      <c r="G5" t="s">
        <v>13</v>
      </c>
      <c r="J5">
        <v>1</v>
      </c>
      <c r="K5">
        <v>15</v>
      </c>
      <c r="L5">
        <v>12</v>
      </c>
      <c r="O5" s="9">
        <f t="shared" ref="O5:O24" si="2">0.251*(IF(J5=1,0.7,IF(J5=2,0.58,IF(J5=3,0.62,IF(J5=4,0.45,0.55))))*E5/10*F5)^0.916</f>
        <v>1.0508099592233149</v>
      </c>
      <c r="P5" s="9">
        <f t="shared" ref="P5:P24" si="3">O5*IF(G5="A",1,IF(G5="B",0.9,IF(G5="C",0.75,0.5)))</f>
        <v>1.0508099592233149</v>
      </c>
      <c r="R5">
        <f t="shared" ref="R5:R24" si="4">IF(G5="A",1,IF(G5="B",0.9,IF(G5="C",0.75,0.5)))</f>
        <v>1</v>
      </c>
      <c r="T5">
        <f t="shared" ref="T5:T24" si="5">STANDARDIZE(R5,$R$26,$R$27)</f>
        <v>0.56659269967006998</v>
      </c>
    </row>
    <row r="6" spans="1:20" x14ac:dyDescent="0.25">
      <c r="B6">
        <v>40</v>
      </c>
      <c r="C6" t="str">
        <f t="shared" si="1"/>
        <v>බේරිය</v>
      </c>
      <c r="D6" s="35" t="str">
        <f t="shared" si="0"/>
        <v>Lumitzera racemosa</v>
      </c>
      <c r="E6">
        <v>39.97</v>
      </c>
      <c r="F6">
        <v>1.73</v>
      </c>
      <c r="G6" t="s">
        <v>13</v>
      </c>
      <c r="J6">
        <v>1</v>
      </c>
      <c r="K6">
        <v>10</v>
      </c>
      <c r="L6">
        <v>4</v>
      </c>
      <c r="O6" s="9">
        <f t="shared" si="2"/>
        <v>1.0641975050375794</v>
      </c>
      <c r="P6" s="9">
        <f t="shared" si="3"/>
        <v>1.0641975050375794</v>
      </c>
      <c r="R6">
        <f t="shared" si="4"/>
        <v>1</v>
      </c>
      <c r="T6">
        <f t="shared" si="5"/>
        <v>0.56659269967006998</v>
      </c>
    </row>
    <row r="7" spans="1:20" x14ac:dyDescent="0.25">
      <c r="B7">
        <v>41</v>
      </c>
      <c r="C7" t="str">
        <f t="shared" si="1"/>
        <v>බේරිය</v>
      </c>
      <c r="D7" s="35" t="str">
        <f t="shared" si="0"/>
        <v>Lumitzera racemosa</v>
      </c>
      <c r="E7">
        <v>12.98</v>
      </c>
      <c r="F7">
        <v>1.42</v>
      </c>
      <c r="G7" t="s">
        <v>13</v>
      </c>
      <c r="J7">
        <v>1</v>
      </c>
      <c r="K7">
        <v>12</v>
      </c>
      <c r="L7">
        <v>7</v>
      </c>
      <c r="O7" s="9">
        <f t="shared" si="2"/>
        <v>0.31698540608405523</v>
      </c>
      <c r="P7" s="9">
        <f t="shared" si="3"/>
        <v>0.31698540608405523</v>
      </c>
      <c r="R7">
        <f t="shared" si="4"/>
        <v>1</v>
      </c>
      <c r="T7">
        <f t="shared" si="5"/>
        <v>0.56659269967006998</v>
      </c>
    </row>
    <row r="8" spans="1:20" x14ac:dyDescent="0.25">
      <c r="B8">
        <v>42</v>
      </c>
      <c r="C8" t="str">
        <f t="shared" si="1"/>
        <v>බේරිය</v>
      </c>
      <c r="D8" s="35" t="str">
        <f t="shared" si="0"/>
        <v>Lumitzera racemosa</v>
      </c>
      <c r="E8">
        <v>9.3000000000000007</v>
      </c>
      <c r="F8">
        <v>0.99</v>
      </c>
      <c r="G8" t="s">
        <v>12</v>
      </c>
      <c r="J8">
        <v>1</v>
      </c>
      <c r="K8">
        <v>7</v>
      </c>
      <c r="L8">
        <v>13</v>
      </c>
      <c r="O8" s="9">
        <f t="shared" si="2"/>
        <v>0.16784783555116853</v>
      </c>
      <c r="P8" s="9">
        <f t="shared" si="3"/>
        <v>0.15106305199605169</v>
      </c>
      <c r="R8">
        <f t="shared" si="4"/>
        <v>0.9</v>
      </c>
      <c r="T8">
        <f t="shared" si="5"/>
        <v>-0.22663707986802814</v>
      </c>
    </row>
    <row r="9" spans="1:20" x14ac:dyDescent="0.25">
      <c r="B9">
        <v>43</v>
      </c>
      <c r="C9" t="str">
        <f t="shared" si="1"/>
        <v>බේරිය</v>
      </c>
      <c r="D9" s="35" t="str">
        <f t="shared" si="0"/>
        <v>Lumitzera racemosa</v>
      </c>
      <c r="E9">
        <v>12.23</v>
      </c>
      <c r="F9">
        <v>0.84</v>
      </c>
      <c r="G9" t="s">
        <v>12</v>
      </c>
      <c r="J9">
        <v>1</v>
      </c>
      <c r="K9">
        <v>4</v>
      </c>
      <c r="L9">
        <v>12</v>
      </c>
      <c r="O9" s="9">
        <f t="shared" si="2"/>
        <v>0.18556923902442776</v>
      </c>
      <c r="P9" s="9">
        <f t="shared" si="3"/>
        <v>0.167012315121985</v>
      </c>
      <c r="R9">
        <f t="shared" si="4"/>
        <v>0.9</v>
      </c>
      <c r="T9">
        <f t="shared" si="5"/>
        <v>-0.22663707986802814</v>
      </c>
    </row>
    <row r="10" spans="1:20" x14ac:dyDescent="0.25">
      <c r="B10">
        <v>44</v>
      </c>
      <c r="C10" t="str">
        <f t="shared" si="1"/>
        <v>බේරිය</v>
      </c>
      <c r="D10" s="35" t="str">
        <f t="shared" si="0"/>
        <v>Lumitzera racemosa</v>
      </c>
      <c r="E10">
        <v>23.45</v>
      </c>
      <c r="F10">
        <v>0.54</v>
      </c>
      <c r="G10" t="s">
        <v>12</v>
      </c>
      <c r="J10">
        <v>1</v>
      </c>
      <c r="K10">
        <v>2</v>
      </c>
      <c r="L10">
        <v>9</v>
      </c>
      <c r="O10" s="9">
        <f t="shared" si="2"/>
        <v>0.22475380764758257</v>
      </c>
      <c r="P10" s="9">
        <f t="shared" si="3"/>
        <v>0.20227842688282432</v>
      </c>
      <c r="R10">
        <f t="shared" si="4"/>
        <v>0.9</v>
      </c>
      <c r="T10">
        <f t="shared" si="5"/>
        <v>-0.22663707986802814</v>
      </c>
    </row>
    <row r="11" spans="1:20" x14ac:dyDescent="0.25">
      <c r="B11">
        <v>45</v>
      </c>
      <c r="C11" t="str">
        <f t="shared" si="1"/>
        <v>බේරිය</v>
      </c>
      <c r="D11" s="35" t="str">
        <f t="shared" si="0"/>
        <v>Lumitzera racemosa</v>
      </c>
      <c r="E11">
        <v>27.27</v>
      </c>
      <c r="F11">
        <v>193</v>
      </c>
      <c r="G11" t="s">
        <v>13</v>
      </c>
      <c r="J11">
        <v>1</v>
      </c>
      <c r="K11">
        <v>10</v>
      </c>
      <c r="L11">
        <v>3</v>
      </c>
      <c r="O11" s="9">
        <f t="shared" si="2"/>
        <v>56.291342656442289</v>
      </c>
      <c r="P11" s="9">
        <f t="shared" si="3"/>
        <v>56.291342656442289</v>
      </c>
      <c r="R11">
        <f t="shared" si="4"/>
        <v>1</v>
      </c>
      <c r="T11">
        <f t="shared" si="5"/>
        <v>0.56659269967006998</v>
      </c>
    </row>
    <row r="12" spans="1:20" x14ac:dyDescent="0.25">
      <c r="B12">
        <v>46</v>
      </c>
      <c r="C12" t="str">
        <f t="shared" si="1"/>
        <v>බේරිය</v>
      </c>
      <c r="D12" s="35" t="str">
        <f t="shared" si="0"/>
        <v>Lumitzera racemosa</v>
      </c>
      <c r="E12">
        <v>23.65</v>
      </c>
      <c r="F12">
        <v>1.37</v>
      </c>
      <c r="G12" t="s">
        <v>13</v>
      </c>
      <c r="J12">
        <v>1</v>
      </c>
      <c r="K12">
        <v>4</v>
      </c>
      <c r="L12">
        <v>26</v>
      </c>
      <c r="O12" s="9">
        <f t="shared" si="2"/>
        <v>0.53143345956618271</v>
      </c>
      <c r="P12" s="9">
        <f t="shared" si="3"/>
        <v>0.53143345956618271</v>
      </c>
      <c r="R12">
        <f t="shared" si="4"/>
        <v>1</v>
      </c>
      <c r="T12">
        <f t="shared" si="5"/>
        <v>0.56659269967006998</v>
      </c>
    </row>
    <row r="13" spans="1:20" x14ac:dyDescent="0.25">
      <c r="B13">
        <v>47</v>
      </c>
      <c r="C13" t="str">
        <f t="shared" si="1"/>
        <v>තෙලකීරිය</v>
      </c>
      <c r="D13" s="35" t="str">
        <f t="shared" si="0"/>
        <v>Excoecaria agallocha</v>
      </c>
      <c r="E13">
        <v>28.68</v>
      </c>
      <c r="F13">
        <v>0.99</v>
      </c>
      <c r="G13" t="s">
        <v>13</v>
      </c>
      <c r="J13">
        <v>4</v>
      </c>
      <c r="K13">
        <v>2</v>
      </c>
      <c r="L13">
        <v>13</v>
      </c>
      <c r="O13" s="9">
        <f t="shared" si="2"/>
        <v>0.314167112886658</v>
      </c>
      <c r="P13" s="9">
        <f t="shared" si="3"/>
        <v>0.314167112886658</v>
      </c>
      <c r="R13">
        <f t="shared" si="4"/>
        <v>1</v>
      </c>
      <c r="T13">
        <f t="shared" si="5"/>
        <v>0.56659269967006998</v>
      </c>
    </row>
    <row r="14" spans="1:20" x14ac:dyDescent="0.25">
      <c r="B14">
        <v>48</v>
      </c>
      <c r="C14" t="str">
        <f t="shared" si="1"/>
        <v>බේරිය</v>
      </c>
      <c r="D14" s="35" t="str">
        <f t="shared" si="0"/>
        <v>Lumitzera racemosa</v>
      </c>
      <c r="E14">
        <v>15.38</v>
      </c>
      <c r="F14">
        <v>0.86</v>
      </c>
      <c r="G14" t="s">
        <v>12</v>
      </c>
      <c r="J14">
        <v>1</v>
      </c>
      <c r="K14">
        <v>5</v>
      </c>
      <c r="L14">
        <v>7</v>
      </c>
      <c r="O14" s="9">
        <f t="shared" si="2"/>
        <v>0.23390317166090704</v>
      </c>
      <c r="P14" s="9">
        <f t="shared" si="3"/>
        <v>0.21051285449481635</v>
      </c>
      <c r="R14">
        <f t="shared" si="4"/>
        <v>0.9</v>
      </c>
      <c r="T14">
        <f t="shared" si="5"/>
        <v>-0.22663707986802814</v>
      </c>
    </row>
    <row r="15" spans="1:20" x14ac:dyDescent="0.25">
      <c r="B15">
        <v>49</v>
      </c>
      <c r="C15" t="str">
        <f t="shared" si="1"/>
        <v>බේරිය</v>
      </c>
      <c r="D15" s="35" t="str">
        <f t="shared" si="0"/>
        <v>Lumitzera racemosa</v>
      </c>
      <c r="E15">
        <v>32.630000000000003</v>
      </c>
      <c r="F15">
        <v>1.4</v>
      </c>
      <c r="G15" t="s">
        <v>12</v>
      </c>
      <c r="J15">
        <v>1</v>
      </c>
      <c r="K15">
        <v>13</v>
      </c>
      <c r="L15">
        <v>7</v>
      </c>
      <c r="O15" s="9">
        <f t="shared" si="2"/>
        <v>0.727964240909726</v>
      </c>
      <c r="P15" s="9">
        <f t="shared" si="3"/>
        <v>0.65516781681875347</v>
      </c>
      <c r="R15">
        <f t="shared" si="4"/>
        <v>0.9</v>
      </c>
      <c r="T15">
        <f t="shared" si="5"/>
        <v>-0.22663707986802814</v>
      </c>
    </row>
    <row r="16" spans="1:20" x14ac:dyDescent="0.25">
      <c r="B16">
        <v>50</v>
      </c>
      <c r="C16" t="str">
        <f t="shared" si="1"/>
        <v>බේරිය</v>
      </c>
      <c r="D16" s="35" t="str">
        <f t="shared" si="0"/>
        <v>Lumitzera racemosa</v>
      </c>
      <c r="E16">
        <v>44.59</v>
      </c>
      <c r="F16">
        <v>1.37</v>
      </c>
      <c r="G16" t="s">
        <v>13</v>
      </c>
      <c r="J16">
        <v>1</v>
      </c>
      <c r="K16">
        <v>1</v>
      </c>
      <c r="L16">
        <v>8</v>
      </c>
      <c r="O16" s="9">
        <f t="shared" si="2"/>
        <v>0.94999449863615359</v>
      </c>
      <c r="P16" s="9">
        <f t="shared" si="3"/>
        <v>0.94999449863615359</v>
      </c>
      <c r="R16">
        <f t="shared" si="4"/>
        <v>1</v>
      </c>
      <c r="T16">
        <f t="shared" si="5"/>
        <v>0.56659269967006998</v>
      </c>
    </row>
    <row r="17" spans="2:20" x14ac:dyDescent="0.25">
      <c r="B17">
        <v>51</v>
      </c>
      <c r="C17" t="str">
        <f t="shared" si="1"/>
        <v>තෙලකීරිය</v>
      </c>
      <c r="D17" s="35" t="str">
        <f t="shared" si="0"/>
        <v>Excoecaria agallocha</v>
      </c>
      <c r="E17">
        <v>26.74</v>
      </c>
      <c r="F17">
        <v>1.52</v>
      </c>
      <c r="G17" t="s">
        <v>13</v>
      </c>
      <c r="J17">
        <v>4</v>
      </c>
      <c r="K17">
        <v>2</v>
      </c>
      <c r="L17">
        <v>7</v>
      </c>
      <c r="O17" s="9">
        <f t="shared" si="2"/>
        <v>0.4363801183473851</v>
      </c>
      <c r="P17" s="9">
        <f t="shared" si="3"/>
        <v>0.4363801183473851</v>
      </c>
      <c r="R17">
        <f t="shared" si="4"/>
        <v>1</v>
      </c>
      <c r="T17">
        <f t="shared" si="5"/>
        <v>0.56659269967006998</v>
      </c>
    </row>
    <row r="18" spans="2:20" x14ac:dyDescent="0.25">
      <c r="B18">
        <v>52</v>
      </c>
      <c r="C18" t="str">
        <f t="shared" si="1"/>
        <v>තෙලකීරිය</v>
      </c>
      <c r="D18" s="35" t="str">
        <f t="shared" si="0"/>
        <v>Excoecaria agallocha</v>
      </c>
      <c r="E18">
        <v>54.73</v>
      </c>
      <c r="F18">
        <v>1.93</v>
      </c>
      <c r="G18" t="s">
        <v>14</v>
      </c>
      <c r="J18">
        <v>4</v>
      </c>
      <c r="K18">
        <v>4</v>
      </c>
      <c r="L18">
        <v>18</v>
      </c>
      <c r="O18" s="9">
        <f t="shared" si="2"/>
        <v>1.046649787600983</v>
      </c>
      <c r="P18" s="9">
        <f t="shared" si="3"/>
        <v>0.78498734070073728</v>
      </c>
      <c r="R18">
        <f t="shared" si="4"/>
        <v>0.75</v>
      </c>
      <c r="T18">
        <f t="shared" si="5"/>
        <v>-1.4164817491751758</v>
      </c>
    </row>
    <row r="19" spans="2:20" x14ac:dyDescent="0.25">
      <c r="B19">
        <v>53</v>
      </c>
      <c r="C19" t="str">
        <f t="shared" si="1"/>
        <v>තෙලකීරිය</v>
      </c>
      <c r="D19" s="35" t="str">
        <f t="shared" si="0"/>
        <v>Excoecaria agallocha</v>
      </c>
      <c r="E19">
        <v>29.7</v>
      </c>
      <c r="F19">
        <v>1.85</v>
      </c>
      <c r="G19" t="s">
        <v>14</v>
      </c>
      <c r="J19">
        <v>4</v>
      </c>
      <c r="K19">
        <v>2</v>
      </c>
      <c r="L19">
        <v>20</v>
      </c>
      <c r="O19" s="9">
        <f t="shared" si="2"/>
        <v>0.57516254257033927</v>
      </c>
      <c r="P19" s="9">
        <f t="shared" si="3"/>
        <v>0.43137190692775446</v>
      </c>
      <c r="R19">
        <f t="shared" si="4"/>
        <v>0.75</v>
      </c>
      <c r="T19">
        <f t="shared" si="5"/>
        <v>-1.4164817491751758</v>
      </c>
    </row>
    <row r="20" spans="2:20" x14ac:dyDescent="0.25">
      <c r="B20">
        <v>54</v>
      </c>
      <c r="C20" t="str">
        <f t="shared" si="1"/>
        <v>තෙලකීරිය</v>
      </c>
      <c r="D20" s="35" t="str">
        <f t="shared" si="0"/>
        <v>Excoecaria agallocha</v>
      </c>
      <c r="E20">
        <v>25.32</v>
      </c>
      <c r="F20">
        <v>0.85</v>
      </c>
      <c r="G20" t="s">
        <v>16</v>
      </c>
      <c r="J20">
        <v>4</v>
      </c>
      <c r="K20">
        <v>3</v>
      </c>
      <c r="L20">
        <v>5</v>
      </c>
      <c r="O20" s="9">
        <f t="shared" si="2"/>
        <v>0.24374564813137881</v>
      </c>
      <c r="P20" s="9">
        <f t="shared" si="3"/>
        <v>0.1218728240656894</v>
      </c>
      <c r="R20">
        <f t="shared" si="4"/>
        <v>0.5</v>
      </c>
      <c r="T20">
        <f t="shared" si="5"/>
        <v>-3.3995561980204214</v>
      </c>
    </row>
    <row r="21" spans="2:20" x14ac:dyDescent="0.25">
      <c r="B21">
        <v>55</v>
      </c>
      <c r="C21" t="str">
        <f t="shared" si="1"/>
        <v>බේරිය</v>
      </c>
      <c r="D21" s="35" t="str">
        <f t="shared" si="0"/>
        <v>Lumitzera racemosa</v>
      </c>
      <c r="E21">
        <v>27.59</v>
      </c>
      <c r="F21">
        <v>1.83</v>
      </c>
      <c r="G21" t="s">
        <v>13</v>
      </c>
      <c r="J21">
        <v>1</v>
      </c>
      <c r="K21">
        <v>6</v>
      </c>
      <c r="L21">
        <v>8</v>
      </c>
      <c r="O21" s="9">
        <f t="shared" si="2"/>
        <v>0.79784271143459773</v>
      </c>
      <c r="P21" s="9">
        <f t="shared" si="3"/>
        <v>0.79784271143459773</v>
      </c>
      <c r="R21">
        <f t="shared" si="4"/>
        <v>1</v>
      </c>
      <c r="T21">
        <f t="shared" si="5"/>
        <v>0.56659269967006998</v>
      </c>
    </row>
    <row r="22" spans="2:20" x14ac:dyDescent="0.25">
      <c r="B22">
        <v>56</v>
      </c>
      <c r="C22" t="str">
        <f t="shared" si="1"/>
        <v>බේරිය</v>
      </c>
      <c r="D22" s="35" t="str">
        <f t="shared" si="0"/>
        <v>Lumitzera racemosa</v>
      </c>
      <c r="E22">
        <v>18.899999999999999</v>
      </c>
      <c r="F22">
        <v>1.24</v>
      </c>
      <c r="G22" t="s">
        <v>13</v>
      </c>
      <c r="J22">
        <v>1</v>
      </c>
      <c r="K22">
        <v>4</v>
      </c>
      <c r="L22">
        <v>8</v>
      </c>
      <c r="O22" s="9">
        <f t="shared" si="2"/>
        <v>0.39499973327296117</v>
      </c>
      <c r="P22" s="9">
        <f t="shared" si="3"/>
        <v>0.39499973327296117</v>
      </c>
      <c r="R22">
        <f t="shared" si="4"/>
        <v>1</v>
      </c>
      <c r="T22">
        <f t="shared" si="5"/>
        <v>0.56659269967006998</v>
      </c>
    </row>
    <row r="23" spans="2:20" x14ac:dyDescent="0.25">
      <c r="B23">
        <v>57</v>
      </c>
      <c r="C23" t="str">
        <f t="shared" si="1"/>
        <v>බේරිය</v>
      </c>
      <c r="D23" s="35" t="str">
        <f t="shared" si="0"/>
        <v>Lumitzera racemosa</v>
      </c>
      <c r="E23">
        <v>28.63</v>
      </c>
      <c r="F23">
        <v>1.5</v>
      </c>
      <c r="G23" t="s">
        <v>13</v>
      </c>
      <c r="J23">
        <v>1</v>
      </c>
      <c r="K23">
        <v>2</v>
      </c>
      <c r="L23">
        <v>7</v>
      </c>
      <c r="O23" s="9">
        <f t="shared" si="2"/>
        <v>0.68790976474187526</v>
      </c>
      <c r="P23" s="9">
        <f t="shared" si="3"/>
        <v>0.68790976474187526</v>
      </c>
      <c r="R23">
        <f t="shared" si="4"/>
        <v>1</v>
      </c>
      <c r="T23">
        <f t="shared" si="5"/>
        <v>0.56659269967006998</v>
      </c>
    </row>
    <row r="24" spans="2:20" x14ac:dyDescent="0.25">
      <c r="B24">
        <v>58</v>
      </c>
      <c r="C24" t="str">
        <f t="shared" si="1"/>
        <v>බේරිය</v>
      </c>
      <c r="D24" s="35" t="str">
        <f t="shared" si="0"/>
        <v>Lumitzera racemosa</v>
      </c>
      <c r="E24">
        <v>34.840000000000003</v>
      </c>
      <c r="F24">
        <v>1.57</v>
      </c>
      <c r="G24" t="s">
        <v>13</v>
      </c>
      <c r="H24" t="s">
        <v>17</v>
      </c>
      <c r="J24">
        <v>1</v>
      </c>
      <c r="K24">
        <v>3</v>
      </c>
      <c r="L24">
        <v>9</v>
      </c>
      <c r="O24" s="9">
        <f t="shared" si="2"/>
        <v>0.85856106514365826</v>
      </c>
      <c r="P24" s="9">
        <f t="shared" si="3"/>
        <v>0.85856106514365826</v>
      </c>
      <c r="R24">
        <f t="shared" si="4"/>
        <v>1</v>
      </c>
      <c r="T24">
        <f t="shared" si="5"/>
        <v>0.56659269967006998</v>
      </c>
    </row>
    <row r="26" spans="2:20" ht="60" x14ac:dyDescent="0.25">
      <c r="O26" s="22" t="s">
        <v>106</v>
      </c>
      <c r="P26" s="23">
        <f>SUM(P4:P24)</f>
        <v>67.387459453540345</v>
      </c>
      <c r="Q26" s="66" t="s">
        <v>169</v>
      </c>
      <c r="R26">
        <f>AVERAGE(R4:R24)</f>
        <v>0.9285714285714286</v>
      </c>
    </row>
    <row r="27" spans="2:20" x14ac:dyDescent="0.25">
      <c r="Q27" t="s">
        <v>170</v>
      </c>
      <c r="R27">
        <f>STDEV(R4:R24)</f>
        <v>0.12606687567659211</v>
      </c>
    </row>
    <row r="29" spans="2:20" x14ac:dyDescent="0.25">
      <c r="O29" s="21" t="s">
        <v>97</v>
      </c>
      <c r="P29" s="21"/>
      <c r="Q29" s="21"/>
    </row>
    <row r="30" spans="2:20" x14ac:dyDescent="0.25">
      <c r="O30" s="21" t="s">
        <v>107</v>
      </c>
      <c r="P30" s="21">
        <f>1.24*P26</f>
        <v>83.560449722390032</v>
      </c>
      <c r="Q30" s="21"/>
    </row>
    <row r="31" spans="2:20" x14ac:dyDescent="0.25">
      <c r="O31" s="21"/>
      <c r="P31" s="21"/>
      <c r="Q31" s="21"/>
    </row>
    <row r="32" spans="2:20" x14ac:dyDescent="0.25">
      <c r="O32" s="21"/>
      <c r="P32" s="21"/>
      <c r="Q32" s="21"/>
    </row>
    <row r="33" spans="15:17" x14ac:dyDescent="0.25">
      <c r="O33" s="21" t="s">
        <v>109</v>
      </c>
      <c r="P33" s="21"/>
      <c r="Q33" s="21"/>
    </row>
    <row r="34" spans="15:17" x14ac:dyDescent="0.25">
      <c r="O34" s="26" t="s">
        <v>108</v>
      </c>
      <c r="P34" s="21">
        <f>1.2*P30</f>
        <v>100.27253966686804</v>
      </c>
      <c r="Q34" s="21"/>
    </row>
    <row r="35" spans="15:17" x14ac:dyDescent="0.25">
      <c r="O35" s="21"/>
      <c r="P35" s="21"/>
      <c r="Q35" s="21"/>
    </row>
    <row r="37" spans="15:17" ht="30" x14ac:dyDescent="0.25">
      <c r="O37" s="49" t="s">
        <v>135</v>
      </c>
      <c r="P37" s="44" t="s">
        <v>136</v>
      </c>
    </row>
    <row r="38" spans="15:17" ht="30" x14ac:dyDescent="0.25">
      <c r="O38" s="46" t="s">
        <v>138</v>
      </c>
      <c r="P38" s="45">
        <f>1.83*P30</f>
        <v>152.91562299197378</v>
      </c>
    </row>
  </sheetData>
  <mergeCells count="2">
    <mergeCell ref="A1:L1"/>
    <mergeCell ref="A2:L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9"/>
  <sheetViews>
    <sheetView topLeftCell="A4" zoomScale="25" zoomScaleNormal="25" workbookViewId="0">
      <selection activeCell="T3" sqref="T3:T65"/>
    </sheetView>
  </sheetViews>
  <sheetFormatPr defaultRowHeight="15" x14ac:dyDescent="0.25"/>
  <cols>
    <col min="3" max="3" width="17.28515625" customWidth="1"/>
    <col min="4" max="4" width="24.140625" customWidth="1"/>
    <col min="5" max="5" width="13.140625" customWidth="1"/>
    <col min="6" max="6" width="14.5703125" customWidth="1"/>
    <col min="7" max="7" width="19.5703125" customWidth="1"/>
    <col min="8" max="8" width="14.5703125" customWidth="1"/>
    <col min="11" max="11" width="13.28515625" customWidth="1"/>
    <col min="12" max="12" width="12.28515625" customWidth="1"/>
    <col min="15" max="15" width="19.28515625" customWidth="1"/>
    <col min="16" max="16" width="15.85546875" customWidth="1"/>
    <col min="17" max="17" width="17.28515625" customWidth="1"/>
    <col min="18" max="18" width="13" customWidth="1"/>
    <col min="20" max="20" width="14.85546875" bestFit="1"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45"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66" t="s">
        <v>168</v>
      </c>
      <c r="T3" s="66" t="s">
        <v>171</v>
      </c>
    </row>
    <row r="4" spans="1:20" x14ac:dyDescent="0.25">
      <c r="A4">
        <v>3</v>
      </c>
      <c r="B4">
        <v>59</v>
      </c>
      <c r="C4" t="str">
        <f>IF(J4=1,"බේරිය",IF(J4=2,"මණ්ඩ",IF(J4=3,"කඩොල්",IF(J4=4,"තෙලකීරිය","හීන් කඩොල්/ ඇවරි කඩොල්"))))</f>
        <v>බේරිය</v>
      </c>
      <c r="D4" s="35" t="str">
        <f t="shared" ref="D4:D65" si="0">IF(J4=1,"Lumitzera racemosa",IF(J4=2,"Avicenia marina",IF(J4=3,"Rhizophora spp.",IF(J4=4,"Excoecaria agallocha","Aegiceras corniculatum"))))</f>
        <v>Lumitzera racemosa</v>
      </c>
      <c r="E4">
        <v>29.62</v>
      </c>
      <c r="F4">
        <v>1.7</v>
      </c>
      <c r="G4" t="s">
        <v>13</v>
      </c>
      <c r="J4">
        <v>1</v>
      </c>
      <c r="K4">
        <v>8</v>
      </c>
      <c r="L4">
        <v>15</v>
      </c>
      <c r="O4" s="9">
        <f>0.251*(IF(J4=1,0.7,IF(J4=2,0.58,IF(J4=3,0.62,IF(J4=4,0.45,0.55))))*E4/10*F4)^0.916</f>
        <v>0.79587827092104702</v>
      </c>
      <c r="P4" s="9">
        <f>O4*IF(G4="A",1,IF(G4="B",0.9,IF(G4="C",0.75,0.5)))</f>
        <v>0.79587827092104702</v>
      </c>
      <c r="R4">
        <f>IF(G4="A",1,IF(G4="B",0.9,IF(G4="C",0.75,0.5)))</f>
        <v>1</v>
      </c>
      <c r="T4">
        <f>STANDARDIZE(R4,$R$67,$R$68)</f>
        <v>1.8617938885544576</v>
      </c>
    </row>
    <row r="5" spans="1:20" x14ac:dyDescent="0.25">
      <c r="B5">
        <v>60</v>
      </c>
      <c r="C5" t="str">
        <f t="shared" ref="C5:C65" si="1">IF(J5=1,"බේරිය",IF(J5=2,"මණ්ඩ",IF(J5=3,"කඩොල්",IF(J5=4,"තෙලකීරිය","හීන් කඩොල්/ ඇවරි කඩොල්"))))</f>
        <v>බේරිය</v>
      </c>
      <c r="D5" s="35" t="str">
        <f t="shared" si="0"/>
        <v>Lumitzera racemosa</v>
      </c>
      <c r="E5">
        <v>33</v>
      </c>
      <c r="F5">
        <v>1.65</v>
      </c>
      <c r="G5" t="s">
        <v>16</v>
      </c>
      <c r="J5">
        <v>1</v>
      </c>
      <c r="K5">
        <v>4</v>
      </c>
      <c r="L5">
        <v>8</v>
      </c>
      <c r="O5" s="9">
        <f t="shared" ref="O5:O65" si="2">0.251*(IF(J5=1,0.7,IF(J5=2,0.58,IF(J5=3,0.62,IF(J5=4,0.45,0.55))))*E5/10*F5)^0.916</f>
        <v>0.85498321343314421</v>
      </c>
      <c r="P5" s="9">
        <f t="shared" ref="P5:P65" si="3">O5*IF(G5="A",1,IF(G5="B",0.9,IF(G5="C",0.75,0.5)))</f>
        <v>0.4274916067165721</v>
      </c>
      <c r="R5">
        <f t="shared" ref="R5:R65" si="4">IF(G5="A",1,IF(G5="B",0.9,IF(G5="C",0.75,0.5)))</f>
        <v>0.5</v>
      </c>
      <c r="T5">
        <f t="shared" ref="T5:T65" si="5">STANDARDIZE(R5,$R$67,$R$68)</f>
        <v>-0.71479586792715599</v>
      </c>
    </row>
    <row r="6" spans="1:20" x14ac:dyDescent="0.25">
      <c r="B6">
        <v>61</v>
      </c>
      <c r="C6" t="str">
        <f t="shared" si="1"/>
        <v>බේරිය</v>
      </c>
      <c r="D6" s="35" t="str">
        <f t="shared" si="0"/>
        <v>Lumitzera racemosa</v>
      </c>
      <c r="E6">
        <v>13.99</v>
      </c>
      <c r="F6">
        <v>0.81</v>
      </c>
      <c r="G6" t="s">
        <v>16</v>
      </c>
      <c r="J6">
        <v>1</v>
      </c>
      <c r="K6">
        <v>3</v>
      </c>
      <c r="L6">
        <v>6</v>
      </c>
      <c r="O6" s="9">
        <f t="shared" si="2"/>
        <v>0.20301345853471198</v>
      </c>
      <c r="P6" s="9">
        <f t="shared" si="3"/>
        <v>0.10150672926735599</v>
      </c>
      <c r="R6">
        <f t="shared" si="4"/>
        <v>0.5</v>
      </c>
      <c r="T6">
        <f t="shared" si="5"/>
        <v>-0.71479586792715599</v>
      </c>
    </row>
    <row r="7" spans="1:20" x14ac:dyDescent="0.25">
      <c r="B7">
        <v>62</v>
      </c>
      <c r="C7" t="str">
        <f t="shared" si="1"/>
        <v>බේරිය</v>
      </c>
      <c r="D7" s="35" t="str">
        <f t="shared" si="0"/>
        <v>Lumitzera racemosa</v>
      </c>
      <c r="E7">
        <v>28.53</v>
      </c>
      <c r="F7">
        <v>1.57</v>
      </c>
      <c r="G7" t="s">
        <v>13</v>
      </c>
      <c r="J7">
        <v>1</v>
      </c>
      <c r="K7">
        <v>13</v>
      </c>
      <c r="L7">
        <v>8</v>
      </c>
      <c r="O7" s="9">
        <f t="shared" si="2"/>
        <v>0.71496376277907392</v>
      </c>
      <c r="P7" s="9">
        <f t="shared" si="3"/>
        <v>0.71496376277907392</v>
      </c>
      <c r="R7">
        <f t="shared" si="4"/>
        <v>1</v>
      </c>
      <c r="T7">
        <f t="shared" si="5"/>
        <v>1.8617938885544576</v>
      </c>
    </row>
    <row r="8" spans="1:20" x14ac:dyDescent="0.25">
      <c r="B8">
        <v>63</v>
      </c>
      <c r="C8" t="str">
        <f t="shared" si="1"/>
        <v>තෙලකීරිය</v>
      </c>
      <c r="D8" s="35" t="str">
        <f t="shared" si="0"/>
        <v>Excoecaria agallocha</v>
      </c>
      <c r="E8">
        <v>22.6</v>
      </c>
      <c r="F8">
        <v>1.3</v>
      </c>
      <c r="G8" t="s">
        <v>13</v>
      </c>
      <c r="J8">
        <v>4</v>
      </c>
      <c r="K8">
        <v>3</v>
      </c>
      <c r="L8">
        <v>8</v>
      </c>
      <c r="O8" s="9">
        <f t="shared" si="2"/>
        <v>0.32415432840250152</v>
      </c>
      <c r="P8" s="9">
        <f t="shared" si="3"/>
        <v>0.32415432840250152</v>
      </c>
      <c r="R8">
        <f t="shared" si="4"/>
        <v>1</v>
      </c>
      <c r="T8">
        <f t="shared" si="5"/>
        <v>1.8617938885544576</v>
      </c>
    </row>
    <row r="9" spans="1:20" x14ac:dyDescent="0.25">
      <c r="B9">
        <v>64</v>
      </c>
      <c r="C9" t="str">
        <f t="shared" si="1"/>
        <v>තෙලකීරිය</v>
      </c>
      <c r="D9" s="35" t="str">
        <f t="shared" si="0"/>
        <v>Excoecaria agallocha</v>
      </c>
      <c r="E9">
        <v>10.26</v>
      </c>
      <c r="F9">
        <v>0.57999999999999996</v>
      </c>
      <c r="G9" t="s">
        <v>14</v>
      </c>
      <c r="J9">
        <v>4</v>
      </c>
      <c r="K9">
        <v>1</v>
      </c>
      <c r="L9">
        <v>5</v>
      </c>
      <c r="O9" s="9">
        <f t="shared" si="2"/>
        <v>7.5080543655882098E-2</v>
      </c>
      <c r="P9" s="9">
        <f t="shared" si="3"/>
        <v>5.6310407741911574E-2</v>
      </c>
      <c r="R9">
        <f t="shared" si="4"/>
        <v>0.75</v>
      </c>
      <c r="T9">
        <f t="shared" si="5"/>
        <v>0.5734990103136508</v>
      </c>
    </row>
    <row r="10" spans="1:20" x14ac:dyDescent="0.25">
      <c r="B10">
        <v>65</v>
      </c>
      <c r="C10" t="str">
        <f t="shared" si="1"/>
        <v>තෙලකීරිය</v>
      </c>
      <c r="D10" s="35" t="str">
        <f t="shared" si="0"/>
        <v>Excoecaria agallocha</v>
      </c>
      <c r="E10">
        <v>11.48</v>
      </c>
      <c r="F10">
        <v>0.84</v>
      </c>
      <c r="G10" t="s">
        <v>12</v>
      </c>
      <c r="J10">
        <v>4</v>
      </c>
      <c r="K10">
        <v>1</v>
      </c>
      <c r="L10">
        <v>10</v>
      </c>
      <c r="O10" s="9">
        <f t="shared" si="2"/>
        <v>0.11683231429865132</v>
      </c>
      <c r="P10" s="9">
        <f t="shared" si="3"/>
        <v>0.10514908286878619</v>
      </c>
      <c r="R10">
        <f t="shared" si="4"/>
        <v>0.9</v>
      </c>
      <c r="T10">
        <f t="shared" si="5"/>
        <v>1.346475937258135</v>
      </c>
    </row>
    <row r="11" spans="1:20" x14ac:dyDescent="0.25">
      <c r="B11">
        <v>66</v>
      </c>
      <c r="C11" t="str">
        <f t="shared" si="1"/>
        <v>බේරිය</v>
      </c>
      <c r="D11" s="35" t="str">
        <f t="shared" si="0"/>
        <v>Lumitzera racemosa</v>
      </c>
      <c r="E11">
        <v>8.17</v>
      </c>
      <c r="F11">
        <v>0.79</v>
      </c>
      <c r="G11" t="s">
        <v>12</v>
      </c>
      <c r="J11">
        <v>1</v>
      </c>
      <c r="K11">
        <v>2</v>
      </c>
      <c r="L11">
        <v>7</v>
      </c>
      <c r="O11" s="9">
        <f t="shared" si="2"/>
        <v>0.12122867139488298</v>
      </c>
      <c r="P11" s="9">
        <f t="shared" si="3"/>
        <v>0.10910580425539469</v>
      </c>
      <c r="R11">
        <f t="shared" si="4"/>
        <v>0.9</v>
      </c>
      <c r="T11">
        <f t="shared" si="5"/>
        <v>1.346475937258135</v>
      </c>
    </row>
    <row r="12" spans="1:20" x14ac:dyDescent="0.25">
      <c r="B12">
        <v>67</v>
      </c>
      <c r="C12" t="str">
        <f t="shared" si="1"/>
        <v>බේරිය</v>
      </c>
      <c r="D12" s="35" t="str">
        <f t="shared" si="0"/>
        <v>Lumitzera racemosa</v>
      </c>
      <c r="E12">
        <v>17.600000000000001</v>
      </c>
      <c r="F12">
        <v>2.13</v>
      </c>
      <c r="G12" t="s">
        <v>12</v>
      </c>
      <c r="J12">
        <v>1</v>
      </c>
      <c r="K12">
        <v>4</v>
      </c>
      <c r="L12">
        <v>18</v>
      </c>
      <c r="O12" s="9">
        <f t="shared" si="2"/>
        <v>0.6073916910598065</v>
      </c>
      <c r="P12" s="9">
        <f t="shared" si="3"/>
        <v>0.54665252195382585</v>
      </c>
      <c r="R12">
        <f t="shared" si="4"/>
        <v>0.9</v>
      </c>
      <c r="T12">
        <f t="shared" si="5"/>
        <v>1.346475937258135</v>
      </c>
    </row>
    <row r="13" spans="1:20" x14ac:dyDescent="0.25">
      <c r="B13">
        <v>68</v>
      </c>
      <c r="C13" t="str">
        <f t="shared" si="1"/>
        <v>බේරිය</v>
      </c>
      <c r="D13" s="35" t="str">
        <f t="shared" si="0"/>
        <v>Lumitzera racemosa</v>
      </c>
      <c r="E13">
        <v>16</v>
      </c>
      <c r="F13">
        <v>1.57</v>
      </c>
      <c r="G13" t="s">
        <v>12</v>
      </c>
      <c r="J13">
        <v>1</v>
      </c>
      <c r="K13">
        <v>2</v>
      </c>
      <c r="L13">
        <v>12</v>
      </c>
      <c r="O13" s="9">
        <f t="shared" si="2"/>
        <v>0.42092189007577641</v>
      </c>
      <c r="P13" s="9">
        <f t="shared" si="3"/>
        <v>0.3788297010681988</v>
      </c>
      <c r="R13">
        <f t="shared" si="4"/>
        <v>0.9</v>
      </c>
      <c r="T13">
        <f t="shared" si="5"/>
        <v>1.346475937258135</v>
      </c>
    </row>
    <row r="14" spans="1:20" x14ac:dyDescent="0.25">
      <c r="B14">
        <v>69</v>
      </c>
      <c r="C14" t="str">
        <f t="shared" si="1"/>
        <v>තෙලකීරිය</v>
      </c>
      <c r="D14" s="35" t="str">
        <f t="shared" si="0"/>
        <v>Excoecaria agallocha</v>
      </c>
      <c r="E14">
        <v>29</v>
      </c>
      <c r="F14">
        <v>0.71</v>
      </c>
      <c r="G14" t="s">
        <v>14</v>
      </c>
      <c r="J14">
        <v>4</v>
      </c>
      <c r="K14">
        <v>1</v>
      </c>
      <c r="L14">
        <v>5</v>
      </c>
      <c r="O14" s="9">
        <f t="shared" si="2"/>
        <v>0.23405913602516257</v>
      </c>
      <c r="P14" s="9">
        <f t="shared" si="3"/>
        <v>0.17554435201887192</v>
      </c>
      <c r="R14">
        <f t="shared" si="4"/>
        <v>0.75</v>
      </c>
      <c r="T14">
        <f t="shared" si="5"/>
        <v>0.5734990103136508</v>
      </c>
    </row>
    <row r="15" spans="1:20" x14ac:dyDescent="0.25">
      <c r="B15">
        <v>70</v>
      </c>
      <c r="C15" t="str">
        <f t="shared" si="1"/>
        <v>තෙලකීරිය</v>
      </c>
      <c r="D15" s="35" t="str">
        <f t="shared" si="0"/>
        <v>Excoecaria agallocha</v>
      </c>
      <c r="E15">
        <v>16.809999999999999</v>
      </c>
      <c r="F15">
        <v>0.66</v>
      </c>
      <c r="G15" t="s">
        <v>13</v>
      </c>
      <c r="J15">
        <v>4</v>
      </c>
      <c r="K15">
        <v>1</v>
      </c>
      <c r="L15">
        <v>6</v>
      </c>
      <c r="O15" s="9">
        <f t="shared" si="2"/>
        <v>0.13284299383201512</v>
      </c>
      <c r="P15" s="9">
        <f t="shared" si="3"/>
        <v>0.13284299383201512</v>
      </c>
      <c r="R15">
        <f t="shared" si="4"/>
        <v>1</v>
      </c>
      <c r="T15">
        <f t="shared" si="5"/>
        <v>1.8617938885544576</v>
      </c>
    </row>
    <row r="16" spans="1:20" x14ac:dyDescent="0.25">
      <c r="B16">
        <v>71</v>
      </c>
      <c r="C16" t="str">
        <f t="shared" si="1"/>
        <v>බේරිය</v>
      </c>
      <c r="D16" s="35" t="str">
        <f t="shared" si="0"/>
        <v>Lumitzera racemosa</v>
      </c>
      <c r="E16">
        <v>12.37</v>
      </c>
      <c r="F16">
        <v>1.04</v>
      </c>
      <c r="G16" t="s">
        <v>16</v>
      </c>
      <c r="H16" t="s">
        <v>17</v>
      </c>
      <c r="J16">
        <v>1</v>
      </c>
      <c r="K16">
        <v>2</v>
      </c>
      <c r="L16">
        <v>22</v>
      </c>
      <c r="O16" s="9">
        <f t="shared" si="2"/>
        <v>0.22803247962313364</v>
      </c>
      <c r="P16" s="9">
        <f t="shared" si="3"/>
        <v>0.11401623981156682</v>
      </c>
      <c r="R16">
        <f t="shared" si="4"/>
        <v>0.5</v>
      </c>
      <c r="T16">
        <f t="shared" si="5"/>
        <v>-0.71479586792715599</v>
      </c>
    </row>
    <row r="17" spans="2:20" x14ac:dyDescent="0.25">
      <c r="B17">
        <v>72</v>
      </c>
      <c r="C17" t="str">
        <f t="shared" si="1"/>
        <v>බේරිය</v>
      </c>
      <c r="D17" s="35" t="str">
        <f t="shared" si="0"/>
        <v>Lumitzera racemosa</v>
      </c>
      <c r="E17">
        <v>25.17</v>
      </c>
      <c r="F17">
        <v>0.81</v>
      </c>
      <c r="G17" t="s">
        <v>16</v>
      </c>
      <c r="H17" t="s">
        <v>17</v>
      </c>
      <c r="J17">
        <v>1</v>
      </c>
      <c r="K17">
        <v>1</v>
      </c>
      <c r="L17">
        <v>15</v>
      </c>
      <c r="O17" s="9">
        <f t="shared" si="2"/>
        <v>0.34766808774400437</v>
      </c>
      <c r="P17" s="9">
        <f t="shared" si="3"/>
        <v>0.17383404387200219</v>
      </c>
      <c r="R17">
        <f t="shared" si="4"/>
        <v>0.5</v>
      </c>
      <c r="T17">
        <f t="shared" si="5"/>
        <v>-0.71479586792715599</v>
      </c>
    </row>
    <row r="18" spans="2:20" x14ac:dyDescent="0.25">
      <c r="B18">
        <v>73</v>
      </c>
      <c r="C18" t="str">
        <f t="shared" si="1"/>
        <v>බේරිය</v>
      </c>
      <c r="D18" s="35" t="str">
        <f t="shared" si="0"/>
        <v>Lumitzera racemosa</v>
      </c>
      <c r="E18">
        <v>15.87</v>
      </c>
      <c r="F18">
        <v>0.84</v>
      </c>
      <c r="G18" t="s">
        <v>16</v>
      </c>
      <c r="J18">
        <v>1</v>
      </c>
      <c r="K18">
        <v>1</v>
      </c>
      <c r="L18">
        <v>18</v>
      </c>
      <c r="O18" s="9">
        <f t="shared" si="2"/>
        <v>0.23558726864637905</v>
      </c>
      <c r="P18" s="9">
        <f t="shared" si="3"/>
        <v>0.11779363432318952</v>
      </c>
      <c r="R18">
        <f t="shared" si="4"/>
        <v>0.5</v>
      </c>
      <c r="T18">
        <f t="shared" si="5"/>
        <v>-0.71479586792715599</v>
      </c>
    </row>
    <row r="19" spans="2:20" x14ac:dyDescent="0.25">
      <c r="B19">
        <v>74</v>
      </c>
      <c r="C19" t="str">
        <f t="shared" si="1"/>
        <v>තෙලකීරිය</v>
      </c>
      <c r="D19" s="35" t="str">
        <f t="shared" si="0"/>
        <v>Excoecaria agallocha</v>
      </c>
      <c r="E19">
        <v>18.36</v>
      </c>
      <c r="F19">
        <v>1.0900000000000001</v>
      </c>
      <c r="G19" t="s">
        <v>16</v>
      </c>
      <c r="J19">
        <v>4</v>
      </c>
      <c r="K19">
        <v>1</v>
      </c>
      <c r="L19">
        <v>12</v>
      </c>
      <c r="O19" s="9">
        <f t="shared" si="2"/>
        <v>0.22803758247944853</v>
      </c>
      <c r="P19" s="9">
        <f t="shared" si="3"/>
        <v>0.11401879123972426</v>
      </c>
      <c r="R19">
        <f t="shared" si="4"/>
        <v>0.5</v>
      </c>
      <c r="T19">
        <f t="shared" si="5"/>
        <v>-0.71479586792715599</v>
      </c>
    </row>
    <row r="20" spans="2:20" x14ac:dyDescent="0.25">
      <c r="B20">
        <v>75</v>
      </c>
      <c r="C20" t="str">
        <f t="shared" si="1"/>
        <v>බේරිය</v>
      </c>
      <c r="D20" s="35" t="str">
        <f t="shared" si="0"/>
        <v>Lumitzera racemosa</v>
      </c>
      <c r="E20">
        <v>46.88</v>
      </c>
      <c r="F20">
        <v>1.07</v>
      </c>
      <c r="G20" t="s">
        <v>16</v>
      </c>
      <c r="J20">
        <v>1</v>
      </c>
      <c r="K20">
        <v>1</v>
      </c>
      <c r="L20">
        <v>9</v>
      </c>
      <c r="O20" s="9">
        <f t="shared" si="2"/>
        <v>0.7930922588109709</v>
      </c>
      <c r="P20" s="9">
        <f t="shared" si="3"/>
        <v>0.39654612940548545</v>
      </c>
      <c r="R20">
        <f t="shared" si="4"/>
        <v>0.5</v>
      </c>
      <c r="T20">
        <f t="shared" si="5"/>
        <v>-0.71479586792715599</v>
      </c>
    </row>
    <row r="21" spans="2:20" x14ac:dyDescent="0.25">
      <c r="B21">
        <v>76</v>
      </c>
      <c r="C21" t="str">
        <f t="shared" si="1"/>
        <v>තෙලකීරිය</v>
      </c>
      <c r="D21" s="35" t="str">
        <f t="shared" si="0"/>
        <v>Excoecaria agallocha</v>
      </c>
      <c r="E21">
        <v>31.7</v>
      </c>
      <c r="F21">
        <v>0.79</v>
      </c>
      <c r="G21" t="s">
        <v>16</v>
      </c>
      <c r="J21">
        <v>4</v>
      </c>
      <c r="K21">
        <v>1</v>
      </c>
      <c r="L21">
        <v>7</v>
      </c>
      <c r="O21" s="9">
        <f t="shared" si="2"/>
        <v>0.28003549595365407</v>
      </c>
      <c r="P21" s="9">
        <f t="shared" si="3"/>
        <v>0.14001774797682703</v>
      </c>
      <c r="R21">
        <f t="shared" si="4"/>
        <v>0.5</v>
      </c>
      <c r="T21">
        <f t="shared" si="5"/>
        <v>-0.71479586792715599</v>
      </c>
    </row>
    <row r="22" spans="2:20" x14ac:dyDescent="0.25">
      <c r="B22">
        <v>77</v>
      </c>
      <c r="C22" t="str">
        <f t="shared" si="1"/>
        <v>තෙලකීරිය</v>
      </c>
      <c r="D22" s="35" t="str">
        <f t="shared" si="0"/>
        <v>Excoecaria agallocha</v>
      </c>
      <c r="E22">
        <v>28.85</v>
      </c>
      <c r="F22">
        <v>1.07</v>
      </c>
      <c r="G22" t="s">
        <v>16</v>
      </c>
      <c r="J22">
        <v>4</v>
      </c>
      <c r="K22">
        <v>1</v>
      </c>
      <c r="L22">
        <v>13</v>
      </c>
      <c r="O22" s="9">
        <f t="shared" si="2"/>
        <v>0.33917629612255357</v>
      </c>
      <c r="P22" s="9">
        <f t="shared" si="3"/>
        <v>0.16958814806127678</v>
      </c>
      <c r="R22">
        <f t="shared" si="4"/>
        <v>0.5</v>
      </c>
      <c r="T22">
        <f t="shared" si="5"/>
        <v>-0.71479586792715599</v>
      </c>
    </row>
    <row r="23" spans="2:20" x14ac:dyDescent="0.25">
      <c r="B23">
        <v>78</v>
      </c>
      <c r="C23" t="str">
        <f t="shared" si="1"/>
        <v>බේරිය</v>
      </c>
      <c r="D23" s="35" t="str">
        <f t="shared" si="0"/>
        <v>Lumitzera racemosa</v>
      </c>
      <c r="E23">
        <v>33.86</v>
      </c>
      <c r="F23">
        <v>1.0900000000000001</v>
      </c>
      <c r="G23" t="s">
        <v>16</v>
      </c>
      <c r="J23">
        <v>1</v>
      </c>
      <c r="K23">
        <v>1</v>
      </c>
      <c r="L23">
        <v>13</v>
      </c>
      <c r="O23" s="9">
        <f t="shared" si="2"/>
        <v>0.59876919347526703</v>
      </c>
      <c r="P23" s="9">
        <f t="shared" si="3"/>
        <v>0.29938459673763351</v>
      </c>
      <c r="R23">
        <f t="shared" si="4"/>
        <v>0.5</v>
      </c>
      <c r="T23">
        <f t="shared" si="5"/>
        <v>-0.71479586792715599</v>
      </c>
    </row>
    <row r="24" spans="2:20" x14ac:dyDescent="0.25">
      <c r="B24">
        <v>79</v>
      </c>
      <c r="C24" t="str">
        <f t="shared" si="1"/>
        <v>බේරිය</v>
      </c>
      <c r="D24" s="35" t="str">
        <f t="shared" si="0"/>
        <v>Lumitzera racemosa</v>
      </c>
      <c r="E24">
        <v>14.53</v>
      </c>
      <c r="F24">
        <v>1.04</v>
      </c>
      <c r="G24" t="s">
        <v>16</v>
      </c>
      <c r="J24">
        <v>1</v>
      </c>
      <c r="K24">
        <v>1</v>
      </c>
      <c r="L24">
        <v>10</v>
      </c>
      <c r="O24" s="9">
        <f t="shared" si="2"/>
        <v>0.26425387691013785</v>
      </c>
      <c r="P24" s="9">
        <f t="shared" si="3"/>
        <v>0.13212693845506893</v>
      </c>
      <c r="R24">
        <f t="shared" si="4"/>
        <v>0.5</v>
      </c>
      <c r="T24">
        <f t="shared" si="5"/>
        <v>-0.71479586792715599</v>
      </c>
    </row>
    <row r="25" spans="2:20" x14ac:dyDescent="0.25">
      <c r="B25">
        <v>80</v>
      </c>
      <c r="C25" t="str">
        <f t="shared" si="1"/>
        <v>බේරිය</v>
      </c>
      <c r="D25" s="35" t="str">
        <f t="shared" si="0"/>
        <v>Lumitzera racemosa</v>
      </c>
      <c r="E25">
        <v>10.64</v>
      </c>
      <c r="F25">
        <v>0.71</v>
      </c>
      <c r="G25" t="s">
        <v>16</v>
      </c>
      <c r="J25">
        <v>1</v>
      </c>
      <c r="K25">
        <v>1</v>
      </c>
      <c r="L25">
        <v>9</v>
      </c>
      <c r="O25" s="9">
        <f t="shared" si="2"/>
        <v>0.14002794160258186</v>
      </c>
      <c r="P25" s="9">
        <f t="shared" si="3"/>
        <v>7.0013970801290931E-2</v>
      </c>
      <c r="R25">
        <f t="shared" si="4"/>
        <v>0.5</v>
      </c>
      <c r="T25">
        <f t="shared" si="5"/>
        <v>-0.71479586792715599</v>
      </c>
    </row>
    <row r="26" spans="2:20" x14ac:dyDescent="0.25">
      <c r="B26">
        <v>81</v>
      </c>
      <c r="C26" t="str">
        <f t="shared" si="1"/>
        <v>බේරිය</v>
      </c>
      <c r="D26" s="35" t="str">
        <f t="shared" si="0"/>
        <v>Lumitzera racemosa</v>
      </c>
      <c r="E26">
        <v>14.48</v>
      </c>
      <c r="F26">
        <v>1.0900000000000001</v>
      </c>
      <c r="G26" t="s">
        <v>16</v>
      </c>
      <c r="J26">
        <v>1</v>
      </c>
      <c r="K26">
        <v>1</v>
      </c>
      <c r="L26">
        <v>12</v>
      </c>
      <c r="O26" s="9">
        <f t="shared" si="2"/>
        <v>0.27499842146183023</v>
      </c>
      <c r="P26" s="9">
        <f t="shared" si="3"/>
        <v>0.13749921073091512</v>
      </c>
      <c r="R26">
        <f t="shared" si="4"/>
        <v>0.5</v>
      </c>
      <c r="T26">
        <f t="shared" si="5"/>
        <v>-0.71479586792715599</v>
      </c>
    </row>
    <row r="27" spans="2:20" x14ac:dyDescent="0.25">
      <c r="B27">
        <v>82</v>
      </c>
      <c r="C27" t="str">
        <f t="shared" si="1"/>
        <v>තෙලකීරිය</v>
      </c>
      <c r="D27" s="35" t="str">
        <f t="shared" si="0"/>
        <v>Excoecaria agallocha</v>
      </c>
      <c r="E27">
        <v>42.81</v>
      </c>
      <c r="F27">
        <v>1.19</v>
      </c>
      <c r="G27" t="s">
        <v>16</v>
      </c>
      <c r="J27">
        <v>4</v>
      </c>
      <c r="K27">
        <v>1</v>
      </c>
      <c r="L27">
        <v>14</v>
      </c>
      <c r="O27" s="9">
        <f t="shared" si="2"/>
        <v>0.53667680970461573</v>
      </c>
      <c r="P27" s="9">
        <f t="shared" si="3"/>
        <v>0.26833840485230787</v>
      </c>
      <c r="R27">
        <f t="shared" si="4"/>
        <v>0.5</v>
      </c>
      <c r="T27">
        <f t="shared" si="5"/>
        <v>-0.71479586792715599</v>
      </c>
    </row>
    <row r="28" spans="2:20" x14ac:dyDescent="0.25">
      <c r="B28">
        <v>83</v>
      </c>
      <c r="C28" t="str">
        <f t="shared" si="1"/>
        <v>තෙලකීරිය</v>
      </c>
      <c r="D28" s="35" t="str">
        <f t="shared" si="0"/>
        <v>Excoecaria agallocha</v>
      </c>
      <c r="E28">
        <v>12.82</v>
      </c>
      <c r="F28">
        <v>0.94</v>
      </c>
      <c r="G28" t="s">
        <v>16</v>
      </c>
      <c r="J28">
        <v>4</v>
      </c>
      <c r="K28">
        <v>2</v>
      </c>
      <c r="L28">
        <v>5</v>
      </c>
      <c r="O28" s="9">
        <f t="shared" si="2"/>
        <v>0.14329364466284106</v>
      </c>
      <c r="P28" s="9">
        <f t="shared" si="3"/>
        <v>7.1646822331420529E-2</v>
      </c>
      <c r="R28">
        <f t="shared" si="4"/>
        <v>0.5</v>
      </c>
      <c r="T28">
        <f t="shared" si="5"/>
        <v>-0.71479586792715599</v>
      </c>
    </row>
    <row r="29" spans="2:20" x14ac:dyDescent="0.25">
      <c r="B29">
        <v>84</v>
      </c>
      <c r="C29" t="str">
        <f t="shared" si="1"/>
        <v>බේරිය</v>
      </c>
      <c r="D29" s="35" t="str">
        <f t="shared" si="0"/>
        <v>Lumitzera racemosa</v>
      </c>
      <c r="E29">
        <v>13.11</v>
      </c>
      <c r="F29">
        <v>0.94</v>
      </c>
      <c r="G29" t="s">
        <v>16</v>
      </c>
      <c r="J29">
        <v>1</v>
      </c>
      <c r="K29">
        <v>1</v>
      </c>
      <c r="L29">
        <v>8</v>
      </c>
      <c r="O29" s="9">
        <f t="shared" si="2"/>
        <v>0.21922632600672931</v>
      </c>
      <c r="P29" s="9">
        <f t="shared" si="3"/>
        <v>0.10961316300336466</v>
      </c>
      <c r="R29">
        <f t="shared" si="4"/>
        <v>0.5</v>
      </c>
      <c r="T29">
        <f t="shared" si="5"/>
        <v>-0.71479586792715599</v>
      </c>
    </row>
    <row r="30" spans="2:20" x14ac:dyDescent="0.25">
      <c r="B30">
        <v>85</v>
      </c>
      <c r="C30" t="str">
        <f t="shared" si="1"/>
        <v>තෙලකීරිය</v>
      </c>
      <c r="D30" s="35" t="str">
        <f t="shared" si="0"/>
        <v>Excoecaria agallocha</v>
      </c>
      <c r="E30">
        <v>11.41</v>
      </c>
      <c r="F30">
        <v>1.1200000000000001</v>
      </c>
      <c r="G30" t="s">
        <v>16</v>
      </c>
      <c r="J30">
        <v>4</v>
      </c>
      <c r="K30">
        <v>1</v>
      </c>
      <c r="L30">
        <v>9</v>
      </c>
      <c r="O30" s="9">
        <f t="shared" si="2"/>
        <v>0.15120764279645435</v>
      </c>
      <c r="P30" s="9">
        <f t="shared" si="3"/>
        <v>7.5603821398227175E-2</v>
      </c>
      <c r="R30">
        <f t="shared" si="4"/>
        <v>0.5</v>
      </c>
      <c r="T30">
        <f t="shared" si="5"/>
        <v>-0.71479586792715599</v>
      </c>
    </row>
    <row r="31" spans="2:20" x14ac:dyDescent="0.25">
      <c r="B31">
        <v>86</v>
      </c>
      <c r="C31" t="str">
        <f t="shared" si="1"/>
        <v>තෙලකීරිය</v>
      </c>
      <c r="D31" s="35" t="str">
        <f t="shared" si="0"/>
        <v>Excoecaria agallocha</v>
      </c>
      <c r="E31">
        <v>17.54</v>
      </c>
      <c r="F31">
        <v>0.76</v>
      </c>
      <c r="G31" t="s">
        <v>16</v>
      </c>
      <c r="J31">
        <v>4</v>
      </c>
      <c r="K31">
        <v>1</v>
      </c>
      <c r="L31">
        <v>6</v>
      </c>
      <c r="O31" s="9">
        <f t="shared" si="2"/>
        <v>0.15717111646160209</v>
      </c>
      <c r="P31" s="9">
        <f t="shared" si="3"/>
        <v>7.8585558230801045E-2</v>
      </c>
      <c r="R31">
        <f t="shared" si="4"/>
        <v>0.5</v>
      </c>
      <c r="T31">
        <f t="shared" si="5"/>
        <v>-0.71479586792715599</v>
      </c>
    </row>
    <row r="32" spans="2:20" x14ac:dyDescent="0.25">
      <c r="B32">
        <v>87</v>
      </c>
      <c r="C32" t="str">
        <f t="shared" si="1"/>
        <v>බේරිය</v>
      </c>
      <c r="D32" s="35" t="str">
        <f t="shared" si="0"/>
        <v>Lumitzera racemosa</v>
      </c>
      <c r="E32">
        <v>18.11</v>
      </c>
      <c r="F32">
        <v>0.79</v>
      </c>
      <c r="G32" t="s">
        <v>16</v>
      </c>
      <c r="J32">
        <v>1</v>
      </c>
      <c r="K32">
        <v>1</v>
      </c>
      <c r="L32">
        <v>8</v>
      </c>
      <c r="O32" s="9">
        <f t="shared" si="2"/>
        <v>0.25134094420199876</v>
      </c>
      <c r="P32" s="9">
        <f t="shared" si="3"/>
        <v>0.12567047210099938</v>
      </c>
      <c r="R32">
        <f t="shared" si="4"/>
        <v>0.5</v>
      </c>
      <c r="T32">
        <f t="shared" si="5"/>
        <v>-0.71479586792715599</v>
      </c>
    </row>
    <row r="33" spans="2:20" x14ac:dyDescent="0.25">
      <c r="B33">
        <v>88</v>
      </c>
      <c r="C33" t="str">
        <f t="shared" si="1"/>
        <v>බේරිය</v>
      </c>
      <c r="D33" s="35" t="str">
        <f t="shared" si="0"/>
        <v>Lumitzera racemosa</v>
      </c>
      <c r="E33">
        <v>20.010000000000002</v>
      </c>
      <c r="F33">
        <v>0.76</v>
      </c>
      <c r="G33" t="s">
        <v>16</v>
      </c>
      <c r="J33">
        <v>1</v>
      </c>
      <c r="K33">
        <v>1</v>
      </c>
      <c r="L33">
        <v>7</v>
      </c>
      <c r="O33" s="9">
        <f t="shared" si="2"/>
        <v>0.26579763345306134</v>
      </c>
      <c r="P33" s="9">
        <f t="shared" si="3"/>
        <v>0.13289881672653067</v>
      </c>
      <c r="R33">
        <f t="shared" si="4"/>
        <v>0.5</v>
      </c>
      <c r="T33">
        <f t="shared" si="5"/>
        <v>-0.71479586792715599</v>
      </c>
    </row>
    <row r="34" spans="2:20" x14ac:dyDescent="0.25">
      <c r="B34">
        <v>89</v>
      </c>
      <c r="C34" t="str">
        <f t="shared" si="1"/>
        <v>බේරිය</v>
      </c>
      <c r="D34" s="35" t="str">
        <f t="shared" si="0"/>
        <v>Lumitzera racemosa</v>
      </c>
      <c r="E34">
        <v>16.11</v>
      </c>
      <c r="F34">
        <v>0.81</v>
      </c>
      <c r="G34" t="s">
        <v>16</v>
      </c>
      <c r="J34">
        <v>1</v>
      </c>
      <c r="K34">
        <v>1</v>
      </c>
      <c r="L34">
        <v>10</v>
      </c>
      <c r="O34" s="9">
        <f t="shared" si="2"/>
        <v>0.23102305280640067</v>
      </c>
      <c r="P34" s="9">
        <f t="shared" si="3"/>
        <v>0.11551152640320034</v>
      </c>
      <c r="R34">
        <f t="shared" si="4"/>
        <v>0.5</v>
      </c>
      <c r="T34">
        <f t="shared" si="5"/>
        <v>-0.71479586792715599</v>
      </c>
    </row>
    <row r="35" spans="2:20" x14ac:dyDescent="0.25">
      <c r="B35">
        <v>90</v>
      </c>
      <c r="C35" t="str">
        <f t="shared" si="1"/>
        <v>බේරිය</v>
      </c>
      <c r="D35" s="35" t="str">
        <f t="shared" si="0"/>
        <v>Lumitzera racemosa</v>
      </c>
      <c r="E35">
        <v>15.37</v>
      </c>
      <c r="F35">
        <v>0.83</v>
      </c>
      <c r="G35" t="s">
        <v>16</v>
      </c>
      <c r="J35">
        <v>1</v>
      </c>
      <c r="K35">
        <v>1</v>
      </c>
      <c r="L35">
        <v>17</v>
      </c>
      <c r="O35" s="9">
        <f t="shared" si="2"/>
        <v>0.2262832050343476</v>
      </c>
      <c r="P35" s="9">
        <f t="shared" si="3"/>
        <v>0.1131416025171738</v>
      </c>
      <c r="R35">
        <f t="shared" si="4"/>
        <v>0.5</v>
      </c>
      <c r="T35">
        <f t="shared" si="5"/>
        <v>-0.71479586792715599</v>
      </c>
    </row>
    <row r="36" spans="2:20" x14ac:dyDescent="0.25">
      <c r="B36">
        <v>91</v>
      </c>
      <c r="C36" t="str">
        <f t="shared" si="1"/>
        <v>තෙලකීරිය</v>
      </c>
      <c r="D36" s="35" t="str">
        <f t="shared" si="0"/>
        <v>Excoecaria agallocha</v>
      </c>
      <c r="E36">
        <v>17.53</v>
      </c>
      <c r="F36">
        <v>1.06</v>
      </c>
      <c r="G36" t="s">
        <v>16</v>
      </c>
      <c r="J36">
        <v>4</v>
      </c>
      <c r="K36">
        <v>1</v>
      </c>
      <c r="L36">
        <v>10</v>
      </c>
      <c r="O36" s="9">
        <f t="shared" si="2"/>
        <v>0.21305944521272913</v>
      </c>
      <c r="P36" s="9">
        <f t="shared" si="3"/>
        <v>0.10652972260636456</v>
      </c>
      <c r="R36">
        <f t="shared" si="4"/>
        <v>0.5</v>
      </c>
      <c r="T36">
        <f t="shared" si="5"/>
        <v>-0.71479586792715599</v>
      </c>
    </row>
    <row r="37" spans="2:20" x14ac:dyDescent="0.25">
      <c r="B37">
        <v>92</v>
      </c>
      <c r="C37" t="str">
        <f t="shared" si="1"/>
        <v>තෙලකීරිය</v>
      </c>
      <c r="D37" s="35" t="str">
        <f t="shared" si="0"/>
        <v>Excoecaria agallocha</v>
      </c>
      <c r="E37">
        <v>26.28</v>
      </c>
      <c r="F37">
        <v>1.1200000000000001</v>
      </c>
      <c r="G37" t="s">
        <v>16</v>
      </c>
      <c r="J37">
        <v>4</v>
      </c>
      <c r="K37">
        <v>1</v>
      </c>
      <c r="L37">
        <v>11</v>
      </c>
      <c r="O37" s="9">
        <f t="shared" si="2"/>
        <v>0.3246959887455293</v>
      </c>
      <c r="P37" s="9">
        <f t="shared" si="3"/>
        <v>0.16234799437276465</v>
      </c>
      <c r="R37">
        <f t="shared" si="4"/>
        <v>0.5</v>
      </c>
      <c r="T37">
        <f t="shared" si="5"/>
        <v>-0.71479586792715599</v>
      </c>
    </row>
    <row r="38" spans="2:20" x14ac:dyDescent="0.25">
      <c r="B38">
        <v>93</v>
      </c>
      <c r="C38" t="str">
        <f t="shared" si="1"/>
        <v>තෙලකීරිය</v>
      </c>
      <c r="D38" s="35" t="str">
        <f t="shared" si="0"/>
        <v>Excoecaria agallocha</v>
      </c>
      <c r="E38">
        <v>34.85</v>
      </c>
      <c r="F38">
        <v>0.74</v>
      </c>
      <c r="G38" t="s">
        <v>12</v>
      </c>
      <c r="J38">
        <v>4</v>
      </c>
      <c r="K38">
        <v>2</v>
      </c>
      <c r="L38">
        <v>5</v>
      </c>
      <c r="O38" s="9">
        <f t="shared" si="2"/>
        <v>0.28766722775804193</v>
      </c>
      <c r="P38" s="9">
        <f t="shared" si="3"/>
        <v>0.25890050498223777</v>
      </c>
      <c r="R38">
        <f t="shared" si="4"/>
        <v>0.9</v>
      </c>
      <c r="T38">
        <f t="shared" si="5"/>
        <v>1.346475937258135</v>
      </c>
    </row>
    <row r="39" spans="2:20" x14ac:dyDescent="0.25">
      <c r="B39">
        <v>94</v>
      </c>
      <c r="C39" t="str">
        <f t="shared" si="1"/>
        <v>බේරිය</v>
      </c>
      <c r="D39" s="35" t="str">
        <f t="shared" si="0"/>
        <v>Lumitzera racemosa</v>
      </c>
      <c r="E39">
        <v>26.68</v>
      </c>
      <c r="F39">
        <v>1.19</v>
      </c>
      <c r="G39" t="s">
        <v>12</v>
      </c>
      <c r="J39">
        <v>1</v>
      </c>
      <c r="K39">
        <v>4</v>
      </c>
      <c r="L39">
        <v>10</v>
      </c>
      <c r="O39" s="9">
        <f t="shared" si="2"/>
        <v>0.52163984680330944</v>
      </c>
      <c r="P39" s="9">
        <f t="shared" si="3"/>
        <v>0.46947586212297848</v>
      </c>
      <c r="R39">
        <f t="shared" si="4"/>
        <v>0.9</v>
      </c>
      <c r="T39">
        <f t="shared" si="5"/>
        <v>1.346475937258135</v>
      </c>
    </row>
    <row r="40" spans="2:20" x14ac:dyDescent="0.25">
      <c r="B40">
        <v>95</v>
      </c>
      <c r="C40" t="str">
        <f t="shared" si="1"/>
        <v>බේරිය</v>
      </c>
      <c r="D40" s="35" t="str">
        <f t="shared" si="0"/>
        <v>Lumitzera racemosa</v>
      </c>
      <c r="E40">
        <v>21.55</v>
      </c>
      <c r="F40">
        <v>0.94</v>
      </c>
      <c r="G40" t="s">
        <v>16</v>
      </c>
      <c r="J40">
        <v>1</v>
      </c>
      <c r="K40">
        <v>1</v>
      </c>
      <c r="L40">
        <v>12</v>
      </c>
      <c r="O40" s="9">
        <f t="shared" si="2"/>
        <v>0.34562595087740094</v>
      </c>
      <c r="P40" s="9">
        <f t="shared" si="3"/>
        <v>0.17281297543870047</v>
      </c>
      <c r="R40">
        <f t="shared" si="4"/>
        <v>0.5</v>
      </c>
      <c r="T40">
        <f t="shared" si="5"/>
        <v>-0.71479586792715599</v>
      </c>
    </row>
    <row r="41" spans="2:20" x14ac:dyDescent="0.25">
      <c r="B41">
        <v>96</v>
      </c>
      <c r="C41" t="str">
        <f t="shared" si="1"/>
        <v>බේරිය</v>
      </c>
      <c r="D41" s="35" t="str">
        <f t="shared" si="0"/>
        <v>Lumitzera racemosa</v>
      </c>
      <c r="E41">
        <v>21.62</v>
      </c>
      <c r="F41">
        <v>0.99</v>
      </c>
      <c r="G41" t="s">
        <v>16</v>
      </c>
      <c r="J41">
        <v>1</v>
      </c>
      <c r="K41">
        <v>2</v>
      </c>
      <c r="L41">
        <v>7</v>
      </c>
      <c r="O41" s="9">
        <f t="shared" si="2"/>
        <v>0.36350733283998271</v>
      </c>
      <c r="P41" s="9">
        <f t="shared" si="3"/>
        <v>0.18175366641999136</v>
      </c>
      <c r="R41">
        <f t="shared" si="4"/>
        <v>0.5</v>
      </c>
      <c r="T41">
        <f t="shared" si="5"/>
        <v>-0.71479586792715599</v>
      </c>
    </row>
    <row r="42" spans="2:20" x14ac:dyDescent="0.25">
      <c r="B42">
        <v>97</v>
      </c>
      <c r="C42" t="str">
        <f t="shared" si="1"/>
        <v>බේරිය</v>
      </c>
      <c r="D42" s="35" t="str">
        <f t="shared" si="0"/>
        <v>Lumitzera racemosa</v>
      </c>
      <c r="E42">
        <v>11.47</v>
      </c>
      <c r="F42">
        <v>0.66</v>
      </c>
      <c r="G42" t="s">
        <v>16</v>
      </c>
      <c r="J42">
        <v>1</v>
      </c>
      <c r="K42">
        <v>1</v>
      </c>
      <c r="L42">
        <v>3</v>
      </c>
      <c r="O42" s="9">
        <f t="shared" si="2"/>
        <v>0.14029618507732769</v>
      </c>
      <c r="P42" s="9">
        <f t="shared" si="3"/>
        <v>7.0148092538663845E-2</v>
      </c>
      <c r="R42">
        <f t="shared" si="4"/>
        <v>0.5</v>
      </c>
      <c r="T42">
        <f t="shared" si="5"/>
        <v>-0.71479586792715599</v>
      </c>
    </row>
    <row r="43" spans="2:20" x14ac:dyDescent="0.25">
      <c r="B43">
        <v>98</v>
      </c>
      <c r="C43" t="str">
        <f t="shared" si="1"/>
        <v>බේරිය</v>
      </c>
      <c r="D43" s="35" t="str">
        <f t="shared" si="0"/>
        <v>Lumitzera racemosa</v>
      </c>
      <c r="E43">
        <v>10.14</v>
      </c>
      <c r="F43">
        <v>0.97</v>
      </c>
      <c r="G43" t="s">
        <v>16</v>
      </c>
      <c r="J43">
        <v>1</v>
      </c>
      <c r="K43">
        <v>1</v>
      </c>
      <c r="L43">
        <v>5</v>
      </c>
      <c r="O43" s="9">
        <f t="shared" si="2"/>
        <v>0.17831882817131242</v>
      </c>
      <c r="P43" s="9">
        <f t="shared" si="3"/>
        <v>8.9159414085656211E-2</v>
      </c>
      <c r="R43">
        <f t="shared" si="4"/>
        <v>0.5</v>
      </c>
      <c r="T43">
        <f t="shared" si="5"/>
        <v>-0.71479586792715599</v>
      </c>
    </row>
    <row r="44" spans="2:20" x14ac:dyDescent="0.25">
      <c r="B44">
        <v>99</v>
      </c>
      <c r="C44" t="str">
        <f t="shared" si="1"/>
        <v>තෙලකීරිය</v>
      </c>
      <c r="D44" s="35" t="str">
        <f t="shared" si="0"/>
        <v>Excoecaria agallocha</v>
      </c>
      <c r="E44">
        <v>15.01</v>
      </c>
      <c r="F44">
        <v>0.94</v>
      </c>
      <c r="G44" t="s">
        <v>16</v>
      </c>
      <c r="J44">
        <v>4</v>
      </c>
      <c r="K44">
        <v>1</v>
      </c>
      <c r="L44">
        <v>8</v>
      </c>
      <c r="O44" s="9">
        <f t="shared" si="2"/>
        <v>0.16556411503477697</v>
      </c>
      <c r="P44" s="9">
        <f t="shared" si="3"/>
        <v>8.2782057517388485E-2</v>
      </c>
      <c r="R44">
        <f t="shared" si="4"/>
        <v>0.5</v>
      </c>
      <c r="T44">
        <f t="shared" si="5"/>
        <v>-0.71479586792715599</v>
      </c>
    </row>
    <row r="45" spans="2:20" x14ac:dyDescent="0.25">
      <c r="B45">
        <v>100</v>
      </c>
      <c r="C45" t="str">
        <f t="shared" si="1"/>
        <v>තෙලකීරිය</v>
      </c>
      <c r="D45" s="35" t="str">
        <f t="shared" si="0"/>
        <v>Excoecaria agallocha</v>
      </c>
      <c r="E45">
        <v>31.18</v>
      </c>
      <c r="F45">
        <v>0.69</v>
      </c>
      <c r="G45" t="s">
        <v>16</v>
      </c>
      <c r="J45">
        <v>4</v>
      </c>
      <c r="K45">
        <v>1</v>
      </c>
      <c r="L45">
        <v>12</v>
      </c>
      <c r="O45" s="9">
        <f t="shared" si="2"/>
        <v>0.24366472905234679</v>
      </c>
      <c r="P45" s="9">
        <f t="shared" si="3"/>
        <v>0.1218323645261734</v>
      </c>
      <c r="R45">
        <f t="shared" si="4"/>
        <v>0.5</v>
      </c>
      <c r="T45">
        <f t="shared" si="5"/>
        <v>-0.71479586792715599</v>
      </c>
    </row>
    <row r="46" spans="2:20" x14ac:dyDescent="0.25">
      <c r="B46">
        <v>101</v>
      </c>
      <c r="C46" t="str">
        <f t="shared" si="1"/>
        <v>බේරිය</v>
      </c>
      <c r="D46" s="35" t="str">
        <f t="shared" si="0"/>
        <v>Lumitzera racemosa</v>
      </c>
      <c r="E46">
        <v>25.33</v>
      </c>
      <c r="F46">
        <v>0.86</v>
      </c>
      <c r="G46" t="s">
        <v>16</v>
      </c>
      <c r="J46">
        <v>1</v>
      </c>
      <c r="K46">
        <v>1</v>
      </c>
      <c r="L46">
        <v>13</v>
      </c>
      <c r="O46" s="9">
        <f t="shared" si="2"/>
        <v>0.36941450277197896</v>
      </c>
      <c r="P46" s="9">
        <f t="shared" si="3"/>
        <v>0.18470725138598948</v>
      </c>
      <c r="R46">
        <f t="shared" si="4"/>
        <v>0.5</v>
      </c>
      <c r="T46">
        <f t="shared" si="5"/>
        <v>-0.71479586792715599</v>
      </c>
    </row>
    <row r="47" spans="2:20" x14ac:dyDescent="0.25">
      <c r="B47">
        <v>102</v>
      </c>
      <c r="C47" t="str">
        <f t="shared" si="1"/>
        <v>බේරිය</v>
      </c>
      <c r="D47" s="35" t="str">
        <f t="shared" si="0"/>
        <v>Lumitzera racemosa</v>
      </c>
      <c r="E47">
        <v>13.91</v>
      </c>
      <c r="F47">
        <v>1.22</v>
      </c>
      <c r="G47" t="s">
        <v>16</v>
      </c>
      <c r="J47">
        <v>1</v>
      </c>
      <c r="K47">
        <v>1</v>
      </c>
      <c r="L47">
        <v>12</v>
      </c>
      <c r="O47" s="9">
        <f t="shared" si="2"/>
        <v>0.29388456828156528</v>
      </c>
      <c r="P47" s="9">
        <f t="shared" si="3"/>
        <v>0.14694228414078264</v>
      </c>
      <c r="R47">
        <f t="shared" si="4"/>
        <v>0.5</v>
      </c>
      <c r="T47">
        <f t="shared" si="5"/>
        <v>-0.71479586792715599</v>
      </c>
    </row>
    <row r="48" spans="2:20" x14ac:dyDescent="0.25">
      <c r="B48">
        <v>103</v>
      </c>
      <c r="C48" t="str">
        <f t="shared" si="1"/>
        <v>තෙලකීරිය</v>
      </c>
      <c r="D48" s="35" t="str">
        <f t="shared" si="0"/>
        <v>Excoecaria agallocha</v>
      </c>
      <c r="E48">
        <v>27.28</v>
      </c>
      <c r="F48">
        <v>0.86</v>
      </c>
      <c r="G48" t="s">
        <v>14</v>
      </c>
      <c r="J48">
        <v>4</v>
      </c>
      <c r="K48">
        <v>1</v>
      </c>
      <c r="L48">
        <v>8</v>
      </c>
      <c r="O48" s="9">
        <f t="shared" si="2"/>
        <v>0.26378518750218982</v>
      </c>
      <c r="P48" s="9">
        <f t="shared" si="3"/>
        <v>0.19783889062664237</v>
      </c>
      <c r="R48">
        <f t="shared" si="4"/>
        <v>0.75</v>
      </c>
      <c r="T48">
        <f t="shared" si="5"/>
        <v>0.5734990103136508</v>
      </c>
    </row>
    <row r="49" spans="2:20" x14ac:dyDescent="0.25">
      <c r="B49">
        <v>104</v>
      </c>
      <c r="C49" t="str">
        <f t="shared" si="1"/>
        <v>තෙලකීරිය</v>
      </c>
      <c r="D49" s="35" t="str">
        <f t="shared" si="0"/>
        <v>Excoecaria agallocha</v>
      </c>
      <c r="E49">
        <v>25.06</v>
      </c>
      <c r="F49">
        <v>1.02</v>
      </c>
      <c r="G49" t="s">
        <v>16</v>
      </c>
      <c r="J49">
        <v>4</v>
      </c>
      <c r="K49">
        <v>1</v>
      </c>
      <c r="L49">
        <v>12</v>
      </c>
      <c r="O49" s="9">
        <f t="shared" si="2"/>
        <v>0.2853387789879564</v>
      </c>
      <c r="P49" s="9">
        <f t="shared" si="3"/>
        <v>0.1426693894939782</v>
      </c>
      <c r="R49">
        <f t="shared" si="4"/>
        <v>0.5</v>
      </c>
      <c r="T49">
        <f t="shared" si="5"/>
        <v>-0.71479586792715599</v>
      </c>
    </row>
    <row r="50" spans="2:20" x14ac:dyDescent="0.25">
      <c r="B50">
        <v>105</v>
      </c>
      <c r="C50" t="str">
        <f t="shared" si="1"/>
        <v>තෙලකීරිය</v>
      </c>
      <c r="D50" s="35" t="str">
        <f t="shared" si="0"/>
        <v>Excoecaria agallocha</v>
      </c>
      <c r="E50">
        <v>38.200000000000003</v>
      </c>
      <c r="F50">
        <v>1.04</v>
      </c>
      <c r="G50" t="s">
        <v>16</v>
      </c>
      <c r="J50">
        <v>4</v>
      </c>
      <c r="K50">
        <v>1</v>
      </c>
      <c r="L50">
        <v>17</v>
      </c>
      <c r="O50" s="9">
        <f t="shared" si="2"/>
        <v>0.42735517103090687</v>
      </c>
      <c r="P50" s="9">
        <f t="shared" si="3"/>
        <v>0.21367758551545343</v>
      </c>
      <c r="R50">
        <f t="shared" si="4"/>
        <v>0.5</v>
      </c>
      <c r="T50">
        <f t="shared" si="5"/>
        <v>-0.71479586792715599</v>
      </c>
    </row>
    <row r="51" spans="2:20" x14ac:dyDescent="0.25">
      <c r="B51">
        <v>106</v>
      </c>
      <c r="C51" t="str">
        <f t="shared" si="1"/>
        <v>තෙලකීරිය</v>
      </c>
      <c r="D51" s="35" t="str">
        <f t="shared" si="0"/>
        <v>Excoecaria agallocha</v>
      </c>
      <c r="E51">
        <v>11.22</v>
      </c>
      <c r="F51">
        <v>0.84</v>
      </c>
      <c r="G51" t="s">
        <v>16</v>
      </c>
      <c r="J51">
        <v>4</v>
      </c>
      <c r="K51">
        <v>1</v>
      </c>
      <c r="L51">
        <v>15</v>
      </c>
      <c r="O51" s="9">
        <f t="shared" si="2"/>
        <v>0.11440622800600017</v>
      </c>
      <c r="P51" s="9">
        <f t="shared" si="3"/>
        <v>5.7203114003000086E-2</v>
      </c>
      <c r="R51">
        <f t="shared" si="4"/>
        <v>0.5</v>
      </c>
      <c r="T51">
        <f t="shared" si="5"/>
        <v>-0.71479586792715599</v>
      </c>
    </row>
    <row r="52" spans="2:20" x14ac:dyDescent="0.25">
      <c r="B52">
        <v>107</v>
      </c>
      <c r="C52" t="str">
        <f t="shared" si="1"/>
        <v>තෙලකීරිය</v>
      </c>
      <c r="D52" s="35" t="str">
        <f t="shared" si="0"/>
        <v>Excoecaria agallocha</v>
      </c>
      <c r="E52">
        <v>27.76</v>
      </c>
      <c r="F52">
        <v>0.81</v>
      </c>
      <c r="G52" t="s">
        <v>16</v>
      </c>
      <c r="J52">
        <v>4</v>
      </c>
      <c r="K52">
        <v>1</v>
      </c>
      <c r="L52">
        <v>10</v>
      </c>
      <c r="O52" s="9">
        <f t="shared" si="2"/>
        <v>0.25372361376169628</v>
      </c>
      <c r="P52" s="9">
        <f t="shared" si="3"/>
        <v>0.12686180688084814</v>
      </c>
      <c r="R52">
        <f t="shared" si="4"/>
        <v>0.5</v>
      </c>
      <c r="T52">
        <f t="shared" si="5"/>
        <v>-0.71479586792715599</v>
      </c>
    </row>
    <row r="53" spans="2:20" x14ac:dyDescent="0.25">
      <c r="B53">
        <v>108</v>
      </c>
      <c r="C53" t="str">
        <f t="shared" si="1"/>
        <v>තෙලකීරිය</v>
      </c>
      <c r="D53" s="35" t="str">
        <f t="shared" si="0"/>
        <v>Excoecaria agallocha</v>
      </c>
      <c r="E53">
        <v>24.38</v>
      </c>
      <c r="F53">
        <v>0.99</v>
      </c>
      <c r="G53" t="s">
        <v>16</v>
      </c>
      <c r="J53">
        <v>4</v>
      </c>
      <c r="K53">
        <v>1</v>
      </c>
      <c r="L53">
        <v>11</v>
      </c>
      <c r="O53" s="9">
        <f t="shared" si="2"/>
        <v>0.27073293579435587</v>
      </c>
      <c r="P53" s="9">
        <f t="shared" si="3"/>
        <v>0.13536646789717793</v>
      </c>
      <c r="R53">
        <f t="shared" si="4"/>
        <v>0.5</v>
      </c>
      <c r="T53">
        <f t="shared" si="5"/>
        <v>-0.71479586792715599</v>
      </c>
    </row>
    <row r="54" spans="2:20" x14ac:dyDescent="0.25">
      <c r="B54">
        <v>109</v>
      </c>
      <c r="C54" t="str">
        <f t="shared" si="1"/>
        <v>බේරිය</v>
      </c>
      <c r="D54" s="35" t="str">
        <f t="shared" si="0"/>
        <v>Lumitzera racemosa</v>
      </c>
      <c r="E54">
        <v>33.81</v>
      </c>
      <c r="F54">
        <v>0.61</v>
      </c>
      <c r="G54" t="s">
        <v>16</v>
      </c>
      <c r="J54">
        <v>1</v>
      </c>
      <c r="K54">
        <v>1</v>
      </c>
      <c r="L54">
        <v>11</v>
      </c>
      <c r="O54" s="9">
        <f t="shared" si="2"/>
        <v>0.35135895876488971</v>
      </c>
      <c r="P54" s="9">
        <f t="shared" si="3"/>
        <v>0.17567947938244485</v>
      </c>
      <c r="R54">
        <f t="shared" si="4"/>
        <v>0.5</v>
      </c>
      <c r="T54">
        <f t="shared" si="5"/>
        <v>-0.71479586792715599</v>
      </c>
    </row>
    <row r="55" spans="2:20" x14ac:dyDescent="0.25">
      <c r="B55">
        <v>110</v>
      </c>
      <c r="C55" t="str">
        <f t="shared" si="1"/>
        <v>බේරිය</v>
      </c>
      <c r="D55" s="35" t="str">
        <f t="shared" si="0"/>
        <v>Lumitzera racemosa</v>
      </c>
      <c r="E55">
        <v>17.32</v>
      </c>
      <c r="F55">
        <v>0.89</v>
      </c>
      <c r="G55" t="s">
        <v>16</v>
      </c>
      <c r="J55">
        <v>1</v>
      </c>
      <c r="K55">
        <v>1</v>
      </c>
      <c r="L55">
        <v>13</v>
      </c>
      <c r="O55" s="9">
        <f t="shared" si="2"/>
        <v>0.26911297500940451</v>
      </c>
      <c r="P55" s="9">
        <f t="shared" si="3"/>
        <v>0.13455648750470225</v>
      </c>
      <c r="R55">
        <f t="shared" si="4"/>
        <v>0.5</v>
      </c>
      <c r="T55">
        <f t="shared" si="5"/>
        <v>-0.71479586792715599</v>
      </c>
    </row>
    <row r="56" spans="2:20" x14ac:dyDescent="0.25">
      <c r="B56">
        <v>111</v>
      </c>
      <c r="C56" t="str">
        <f t="shared" si="1"/>
        <v>බේරිය</v>
      </c>
      <c r="D56" s="35" t="str">
        <f t="shared" si="0"/>
        <v>Lumitzera racemosa</v>
      </c>
      <c r="E56">
        <v>13.39</v>
      </c>
      <c r="F56">
        <v>0.81</v>
      </c>
      <c r="G56" t="s">
        <v>16</v>
      </c>
      <c r="J56">
        <v>1</v>
      </c>
      <c r="K56">
        <v>1</v>
      </c>
      <c r="L56">
        <v>9</v>
      </c>
      <c r="O56" s="9">
        <f t="shared" si="2"/>
        <v>0.19502343969505145</v>
      </c>
      <c r="P56" s="9">
        <f t="shared" si="3"/>
        <v>9.7511719847525727E-2</v>
      </c>
      <c r="R56">
        <f t="shared" si="4"/>
        <v>0.5</v>
      </c>
      <c r="T56">
        <f t="shared" si="5"/>
        <v>-0.71479586792715599</v>
      </c>
    </row>
    <row r="57" spans="2:20" x14ac:dyDescent="0.25">
      <c r="B57">
        <v>112</v>
      </c>
      <c r="C57" t="str">
        <f t="shared" si="1"/>
        <v>තෙලකීරිය</v>
      </c>
      <c r="D57" s="35" t="str">
        <f t="shared" si="0"/>
        <v>Excoecaria agallocha</v>
      </c>
      <c r="E57">
        <v>22.23</v>
      </c>
      <c r="F57">
        <v>0.86</v>
      </c>
      <c r="G57" t="s">
        <v>14</v>
      </c>
      <c r="J57">
        <v>4</v>
      </c>
      <c r="K57">
        <v>1</v>
      </c>
      <c r="L57">
        <v>18</v>
      </c>
      <c r="O57" s="9">
        <f t="shared" si="2"/>
        <v>0.21868223973557113</v>
      </c>
      <c r="P57" s="9">
        <f t="shared" si="3"/>
        <v>0.16401167980167836</v>
      </c>
      <c r="R57">
        <f t="shared" si="4"/>
        <v>0.75</v>
      </c>
      <c r="T57">
        <f t="shared" si="5"/>
        <v>0.5734990103136508</v>
      </c>
    </row>
    <row r="58" spans="2:20" x14ac:dyDescent="0.25">
      <c r="B58">
        <v>113</v>
      </c>
      <c r="C58" t="str">
        <f t="shared" si="1"/>
        <v>තෙලකීරිය</v>
      </c>
      <c r="D58" s="35" t="str">
        <f t="shared" si="0"/>
        <v>Excoecaria agallocha</v>
      </c>
      <c r="E58">
        <v>44.28</v>
      </c>
      <c r="F58">
        <v>1.07</v>
      </c>
      <c r="G58" t="s">
        <v>12</v>
      </c>
      <c r="J58">
        <v>4</v>
      </c>
      <c r="K58">
        <v>1</v>
      </c>
      <c r="L58">
        <v>12</v>
      </c>
      <c r="O58" s="9">
        <f t="shared" si="2"/>
        <v>0.50217847931999138</v>
      </c>
      <c r="P58" s="9">
        <f t="shared" si="3"/>
        <v>0.45196063138799225</v>
      </c>
      <c r="R58">
        <f t="shared" si="4"/>
        <v>0.9</v>
      </c>
      <c r="T58">
        <f t="shared" si="5"/>
        <v>1.346475937258135</v>
      </c>
    </row>
    <row r="59" spans="2:20" x14ac:dyDescent="0.25">
      <c r="B59">
        <v>114</v>
      </c>
      <c r="C59" t="str">
        <f t="shared" si="1"/>
        <v>තෙලකීරිය</v>
      </c>
      <c r="D59" s="35" t="str">
        <f t="shared" si="0"/>
        <v>Excoecaria agallocha</v>
      </c>
      <c r="E59">
        <v>44.97</v>
      </c>
      <c r="F59">
        <v>1.24</v>
      </c>
      <c r="G59" t="s">
        <v>12</v>
      </c>
      <c r="J59">
        <v>4</v>
      </c>
      <c r="K59">
        <v>2</v>
      </c>
      <c r="L59">
        <v>30</v>
      </c>
      <c r="O59" s="9">
        <f t="shared" si="2"/>
        <v>0.58299927236355564</v>
      </c>
      <c r="P59" s="9">
        <f t="shared" si="3"/>
        <v>0.52469934512720007</v>
      </c>
      <c r="R59">
        <f t="shared" si="4"/>
        <v>0.9</v>
      </c>
      <c r="T59">
        <f t="shared" si="5"/>
        <v>1.346475937258135</v>
      </c>
    </row>
    <row r="60" spans="2:20" x14ac:dyDescent="0.25">
      <c r="B60">
        <v>115</v>
      </c>
      <c r="C60" t="str">
        <f t="shared" si="1"/>
        <v>බේරිය</v>
      </c>
      <c r="D60" s="35" t="str">
        <f t="shared" si="0"/>
        <v>Lumitzera racemosa</v>
      </c>
      <c r="E60">
        <v>36.51</v>
      </c>
      <c r="F60">
        <v>0.55000000000000004</v>
      </c>
      <c r="G60" t="s">
        <v>12</v>
      </c>
      <c r="J60">
        <v>1</v>
      </c>
      <c r="K60">
        <v>10</v>
      </c>
      <c r="L60">
        <v>8</v>
      </c>
      <c r="O60" s="9">
        <f t="shared" si="2"/>
        <v>0.34286644831826302</v>
      </c>
      <c r="P60" s="9">
        <f t="shared" si="3"/>
        <v>0.30857980348643671</v>
      </c>
      <c r="R60">
        <f t="shared" si="4"/>
        <v>0.9</v>
      </c>
      <c r="T60">
        <f t="shared" si="5"/>
        <v>1.346475937258135</v>
      </c>
    </row>
    <row r="61" spans="2:20" x14ac:dyDescent="0.25">
      <c r="B61">
        <v>116</v>
      </c>
      <c r="C61" t="str">
        <f t="shared" si="1"/>
        <v>බේරිය</v>
      </c>
      <c r="D61" s="35" t="str">
        <f t="shared" si="0"/>
        <v>Lumitzera racemosa</v>
      </c>
      <c r="E61">
        <v>15.9</v>
      </c>
      <c r="F61">
        <v>0.74</v>
      </c>
      <c r="G61" t="s">
        <v>12</v>
      </c>
      <c r="J61">
        <v>1</v>
      </c>
      <c r="K61">
        <v>6</v>
      </c>
      <c r="L61">
        <v>8</v>
      </c>
      <c r="O61" s="9">
        <f t="shared" si="2"/>
        <v>0.21012588097900167</v>
      </c>
      <c r="P61" s="9">
        <f t="shared" si="3"/>
        <v>0.18911329288110151</v>
      </c>
      <c r="R61">
        <f t="shared" si="4"/>
        <v>0.9</v>
      </c>
      <c r="T61">
        <f t="shared" si="5"/>
        <v>1.346475937258135</v>
      </c>
    </row>
    <row r="62" spans="2:20" x14ac:dyDescent="0.25">
      <c r="B62">
        <v>117</v>
      </c>
      <c r="C62" t="str">
        <f t="shared" si="1"/>
        <v>බේරිය</v>
      </c>
      <c r="D62" s="35" t="str">
        <f t="shared" si="0"/>
        <v>Lumitzera racemosa</v>
      </c>
      <c r="E62">
        <v>15.62</v>
      </c>
      <c r="F62">
        <v>0.76</v>
      </c>
      <c r="G62" t="s">
        <v>12</v>
      </c>
      <c r="J62">
        <v>1</v>
      </c>
      <c r="K62">
        <v>7</v>
      </c>
      <c r="L62">
        <v>11</v>
      </c>
      <c r="O62" s="9">
        <f t="shared" si="2"/>
        <v>0.21184616170404766</v>
      </c>
      <c r="P62" s="9">
        <f t="shared" si="3"/>
        <v>0.1906615455336429</v>
      </c>
      <c r="R62">
        <f t="shared" si="4"/>
        <v>0.9</v>
      </c>
      <c r="T62">
        <f t="shared" si="5"/>
        <v>1.346475937258135</v>
      </c>
    </row>
    <row r="63" spans="2:20" x14ac:dyDescent="0.25">
      <c r="B63">
        <v>118</v>
      </c>
      <c r="C63" t="str">
        <f t="shared" si="1"/>
        <v>බේරිය</v>
      </c>
      <c r="D63" s="35" t="str">
        <f t="shared" si="0"/>
        <v>Lumitzera racemosa</v>
      </c>
      <c r="E63">
        <v>10.67</v>
      </c>
      <c r="F63">
        <v>0.86</v>
      </c>
      <c r="G63" t="s">
        <v>12</v>
      </c>
      <c r="J63">
        <v>1</v>
      </c>
      <c r="K63">
        <v>4</v>
      </c>
      <c r="L63">
        <v>6</v>
      </c>
      <c r="O63" s="9">
        <f t="shared" si="2"/>
        <v>0.16733343090679642</v>
      </c>
      <c r="P63" s="9">
        <f t="shared" si="3"/>
        <v>0.15060008781611678</v>
      </c>
      <c r="R63">
        <f t="shared" si="4"/>
        <v>0.9</v>
      </c>
      <c r="T63">
        <f t="shared" si="5"/>
        <v>1.346475937258135</v>
      </c>
    </row>
    <row r="64" spans="2:20" x14ac:dyDescent="0.25">
      <c r="B64">
        <v>119</v>
      </c>
      <c r="C64" t="str">
        <f t="shared" si="1"/>
        <v>බේරිය</v>
      </c>
      <c r="D64" s="35" t="str">
        <f t="shared" si="0"/>
        <v>Lumitzera racemosa</v>
      </c>
      <c r="E64">
        <v>23.64</v>
      </c>
      <c r="F64">
        <v>0.97</v>
      </c>
      <c r="G64" t="s">
        <v>12</v>
      </c>
      <c r="J64">
        <v>1</v>
      </c>
      <c r="K64">
        <v>1</v>
      </c>
      <c r="L64">
        <v>10</v>
      </c>
      <c r="O64" s="9">
        <f t="shared" si="2"/>
        <v>0.38719301970172515</v>
      </c>
      <c r="P64" s="9">
        <f t="shared" si="3"/>
        <v>0.34847371773155267</v>
      </c>
      <c r="R64">
        <f t="shared" si="4"/>
        <v>0.9</v>
      </c>
      <c r="T64">
        <f t="shared" si="5"/>
        <v>1.346475937258135</v>
      </c>
    </row>
    <row r="65" spans="2:20" x14ac:dyDescent="0.25">
      <c r="B65">
        <v>120</v>
      </c>
      <c r="C65" t="str">
        <f t="shared" si="1"/>
        <v>බේරිය</v>
      </c>
      <c r="D65" s="35" t="str">
        <f t="shared" si="0"/>
        <v>Lumitzera racemosa</v>
      </c>
      <c r="E65">
        <v>21.13</v>
      </c>
      <c r="F65">
        <v>0.91</v>
      </c>
      <c r="G65" t="s">
        <v>12</v>
      </c>
      <c r="J65">
        <v>1</v>
      </c>
      <c r="K65">
        <v>1</v>
      </c>
      <c r="L65">
        <v>11</v>
      </c>
      <c r="O65" s="9">
        <f t="shared" si="2"/>
        <v>0.32951362798478656</v>
      </c>
      <c r="P65" s="9">
        <f t="shared" si="3"/>
        <v>0.29656226518630791</v>
      </c>
      <c r="R65">
        <f t="shared" si="4"/>
        <v>0.9</v>
      </c>
      <c r="T65">
        <f t="shared" si="5"/>
        <v>1.346475937258135</v>
      </c>
    </row>
    <row r="66" spans="2:20" x14ac:dyDescent="0.25">
      <c r="Q66" s="66"/>
    </row>
    <row r="67" spans="2:20" ht="30" x14ac:dyDescent="0.25">
      <c r="O67" s="22" t="s">
        <v>106</v>
      </c>
      <c r="P67" s="23">
        <f>SUM(P4:P65)</f>
        <v>12.777698701046056</v>
      </c>
      <c r="Q67" s="66" t="s">
        <v>169</v>
      </c>
      <c r="R67">
        <f>AVERAGE(R4:R65)</f>
        <v>0.63870967741935458</v>
      </c>
    </row>
    <row r="68" spans="2:20" x14ac:dyDescent="0.25">
      <c r="Q68" t="s">
        <v>170</v>
      </c>
      <c r="R68">
        <f>STDEV(R4:R65)</f>
        <v>0.1940549514109535</v>
      </c>
    </row>
    <row r="70" spans="2:20" x14ac:dyDescent="0.25">
      <c r="O70" s="21" t="s">
        <v>97</v>
      </c>
      <c r="P70" s="21"/>
      <c r="Q70" s="21"/>
      <c r="R70" s="21"/>
    </row>
    <row r="71" spans="2:20" x14ac:dyDescent="0.25">
      <c r="O71" s="21" t="s">
        <v>107</v>
      </c>
      <c r="P71" s="21">
        <f>1.24*P67</f>
        <v>15.84434638929711</v>
      </c>
      <c r="Q71" s="21"/>
      <c r="R71" s="21"/>
    </row>
    <row r="72" spans="2:20" x14ac:dyDescent="0.25">
      <c r="O72" s="21"/>
      <c r="P72" s="21"/>
      <c r="Q72" s="21"/>
      <c r="R72" s="21"/>
    </row>
    <row r="73" spans="2:20" x14ac:dyDescent="0.25">
      <c r="O73" s="21"/>
      <c r="P73" s="21"/>
      <c r="Q73" s="21"/>
      <c r="R73" s="21"/>
    </row>
    <row r="74" spans="2:20" x14ac:dyDescent="0.25">
      <c r="O74" s="21" t="s">
        <v>109</v>
      </c>
      <c r="P74" s="21"/>
      <c r="Q74" s="21"/>
      <c r="R74" s="21"/>
    </row>
    <row r="75" spans="2:20" ht="30" x14ac:dyDescent="0.25">
      <c r="O75" s="26" t="s">
        <v>108</v>
      </c>
      <c r="P75" s="21">
        <f>1.2*P71</f>
        <v>19.01321566715653</v>
      </c>
      <c r="Q75" s="21"/>
      <c r="R75" s="21"/>
    </row>
    <row r="76" spans="2:20" x14ac:dyDescent="0.25">
      <c r="O76" s="21"/>
      <c r="P76" s="21"/>
      <c r="Q76" s="21"/>
      <c r="R76" s="21"/>
    </row>
    <row r="77" spans="2:20" x14ac:dyDescent="0.25">
      <c r="O77" s="21"/>
      <c r="P77" s="21"/>
      <c r="Q77" s="21"/>
      <c r="R77" s="21"/>
    </row>
    <row r="78" spans="2:20" ht="45" x14ac:dyDescent="0.25">
      <c r="O78" s="49" t="s">
        <v>135</v>
      </c>
      <c r="P78" s="44" t="s">
        <v>136</v>
      </c>
    </row>
    <row r="79" spans="2:20" ht="30" x14ac:dyDescent="0.25">
      <c r="O79" s="46" t="s">
        <v>138</v>
      </c>
      <c r="P79" s="45">
        <f>1.83*P71</f>
        <v>28.995153892413711</v>
      </c>
    </row>
  </sheetData>
  <sortState ref="B4:L65">
    <sortCondition ref="B4"/>
  </sortState>
  <mergeCells count="2">
    <mergeCell ref="A1:L1"/>
    <mergeCell ref="A2:L2"/>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
  <sheetViews>
    <sheetView zoomScale="25" zoomScaleNormal="25" workbookViewId="0">
      <selection activeCell="T3" sqref="T3:T21"/>
    </sheetView>
  </sheetViews>
  <sheetFormatPr defaultRowHeight="15" x14ac:dyDescent="0.25"/>
  <cols>
    <col min="3" max="3" width="27.85546875" customWidth="1"/>
    <col min="4" max="4" width="22.7109375" customWidth="1"/>
    <col min="5" max="5" width="10.85546875" customWidth="1"/>
    <col min="6" max="6" width="16" customWidth="1"/>
    <col min="7" max="7" width="18.85546875" customWidth="1"/>
    <col min="8" max="8" width="15.85546875" customWidth="1"/>
    <col min="11" max="12" width="14.85546875" customWidth="1"/>
    <col min="15" max="15" width="20.85546875" customWidth="1"/>
    <col min="16" max="16" width="19.5703125" customWidth="1"/>
    <col min="17" max="17" width="16" customWidth="1"/>
    <col min="18" max="18" width="14.140625" customWidth="1"/>
    <col min="20" max="20" width="15.85546875" bestFit="1"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45"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66" t="s">
        <v>168</v>
      </c>
      <c r="T3" s="66" t="s">
        <v>171</v>
      </c>
    </row>
    <row r="4" spans="1:20" x14ac:dyDescent="0.25">
      <c r="A4">
        <v>4</v>
      </c>
      <c r="B4">
        <v>121</v>
      </c>
      <c r="C4" t="str">
        <f>IF(J4=1,"බේරිය",IF(J4=2,"මණ්ඩ",IF(J4=3,"කඩොල්",IF(J4=4,"තෙලකීරිය","හීන් කඩොල්/ ඇවරි කඩොල්"))))</f>
        <v>හීන් කඩොල්/ ඇවරි කඩොල්</v>
      </c>
      <c r="D4" s="35" t="str">
        <f t="shared" ref="D4:D21" si="0">IF(J4=1,"Lumitzera racemosa",IF(J4=2,"Avicenia marina",IF(J4=3,"Rhizophora spp.",IF(J4=4,"Excoecaria agallocha","Aegiceras corniculatum"))))</f>
        <v>Aegiceras corniculatum</v>
      </c>
      <c r="E4">
        <v>11.83</v>
      </c>
      <c r="F4">
        <v>0.91</v>
      </c>
      <c r="G4" t="s">
        <v>12</v>
      </c>
      <c r="J4">
        <v>6</v>
      </c>
      <c r="K4">
        <v>1</v>
      </c>
      <c r="L4">
        <v>5</v>
      </c>
      <c r="O4" s="9">
        <f>0.251*(IF(J4=1,0.7,IF(J4=2,0.58,IF(J4=3,0.62,IF(J4=4,0.45,0.55))))*E4/10*F4)^0.916</f>
        <v>0.15530373000073153</v>
      </c>
      <c r="P4" s="9">
        <f>O4*IF(G4="A",1,IF(G4="B",0.9,IF(G4="C",0.75,0.5)))</f>
        <v>0.13977335700065838</v>
      </c>
      <c r="R4">
        <f>IF(G4="A",1,IF(G4="B",0.9,IF(G4="C",0.75,0.5)))</f>
        <v>0.9</v>
      </c>
      <c r="T4">
        <f>STANDARDIZE(R4,$R$23,$R$24)</f>
        <v>0.23570226039550868</v>
      </c>
    </row>
    <row r="5" spans="1:20" x14ac:dyDescent="0.25">
      <c r="B5">
        <v>122</v>
      </c>
      <c r="C5" t="str">
        <f t="shared" ref="C5:C21" si="1">IF(J5=1,"බේරිය",IF(J5=2,"මණ්ඩ",IF(J5=3,"කඩොල්",IF(J5=4,"තෙලකීරිය","හීන් කඩොල්/ ඇවරි කඩොල්"))))</f>
        <v>මණ්ඩ</v>
      </c>
      <c r="D5" s="35" t="str">
        <f t="shared" si="0"/>
        <v>Avicenia marina</v>
      </c>
      <c r="E5">
        <v>13.28</v>
      </c>
      <c r="F5">
        <v>0.57999999999999996</v>
      </c>
      <c r="G5" t="s">
        <v>12</v>
      </c>
      <c r="J5">
        <v>2</v>
      </c>
      <c r="K5">
        <v>3</v>
      </c>
      <c r="L5">
        <v>12</v>
      </c>
      <c r="O5" s="9">
        <f t="shared" ref="O5:O21" si="2">0.251*(IF(J5=1,0.7,IF(J5=2,0.58,IF(J5=3,0.62,IF(J5=4,0.45,0.55))))*E5/10*F5)^0.916</f>
        <v>0.11998397407497506</v>
      </c>
      <c r="P5" s="9">
        <f t="shared" ref="P5:P21" si="3">O5*IF(G5="A",1,IF(G5="B",0.9,IF(G5="C",0.75,0.5)))</f>
        <v>0.10798557666747756</v>
      </c>
      <c r="R5">
        <f t="shared" ref="R5:R21" si="4">IF(G5="A",1,IF(G5="B",0.9,IF(G5="C",0.75,0.5)))</f>
        <v>0.9</v>
      </c>
      <c r="T5">
        <f t="shared" ref="T5:T21" si="5">STANDARDIZE(R5,$R$23,$R$24)</f>
        <v>0.23570226039550868</v>
      </c>
    </row>
    <row r="6" spans="1:20" x14ac:dyDescent="0.25">
      <c r="B6">
        <v>123</v>
      </c>
      <c r="C6" t="str">
        <f t="shared" si="1"/>
        <v>හීන් කඩොල්/ ඇවරි කඩොල්</v>
      </c>
      <c r="D6" s="35" t="str">
        <f t="shared" si="0"/>
        <v>Aegiceras corniculatum</v>
      </c>
      <c r="E6">
        <v>15.82</v>
      </c>
      <c r="F6">
        <v>0.56000000000000005</v>
      </c>
      <c r="G6" t="s">
        <v>12</v>
      </c>
      <c r="J6">
        <v>6</v>
      </c>
      <c r="K6">
        <v>2</v>
      </c>
      <c r="L6">
        <v>6</v>
      </c>
      <c r="O6" s="9">
        <f t="shared" si="2"/>
        <v>0.12991500450249882</v>
      </c>
      <c r="P6" s="9">
        <f t="shared" si="3"/>
        <v>0.11692350405224894</v>
      </c>
      <c r="R6">
        <f t="shared" si="4"/>
        <v>0.9</v>
      </c>
      <c r="T6">
        <f t="shared" si="5"/>
        <v>0.23570226039550868</v>
      </c>
    </row>
    <row r="7" spans="1:20" x14ac:dyDescent="0.25">
      <c r="B7">
        <v>124</v>
      </c>
      <c r="C7" t="str">
        <f t="shared" si="1"/>
        <v>බේරිය</v>
      </c>
      <c r="D7" s="35" t="str">
        <f t="shared" si="0"/>
        <v>Lumitzera racemosa</v>
      </c>
      <c r="E7">
        <v>11.1</v>
      </c>
      <c r="F7">
        <v>0.57999999999999996</v>
      </c>
      <c r="G7" t="s">
        <v>12</v>
      </c>
      <c r="J7">
        <v>1</v>
      </c>
      <c r="K7">
        <v>3</v>
      </c>
      <c r="L7">
        <v>10</v>
      </c>
      <c r="O7" s="9">
        <f t="shared" si="2"/>
        <v>0.12094820206262211</v>
      </c>
      <c r="P7" s="9">
        <f t="shared" si="3"/>
        <v>0.1088533818563599</v>
      </c>
      <c r="R7">
        <f t="shared" si="4"/>
        <v>0.9</v>
      </c>
      <c r="T7">
        <f t="shared" si="5"/>
        <v>0.23570226039550868</v>
      </c>
    </row>
    <row r="8" spans="1:20" x14ac:dyDescent="0.25">
      <c r="B8">
        <v>125</v>
      </c>
      <c r="C8" t="str">
        <f t="shared" si="1"/>
        <v>හීන් කඩොල්/ ඇවරි කඩොල්</v>
      </c>
      <c r="D8" s="35" t="str">
        <f t="shared" si="0"/>
        <v>Aegiceras corniculatum</v>
      </c>
      <c r="E8">
        <v>15.78</v>
      </c>
      <c r="F8">
        <v>0.76</v>
      </c>
      <c r="G8" t="s">
        <v>12</v>
      </c>
      <c r="J8">
        <v>6</v>
      </c>
      <c r="K8">
        <v>1</v>
      </c>
      <c r="L8">
        <v>1</v>
      </c>
      <c r="O8" s="9">
        <f t="shared" si="2"/>
        <v>0.17144988831887573</v>
      </c>
      <c r="P8" s="9">
        <f t="shared" si="3"/>
        <v>0.15430489948698817</v>
      </c>
      <c r="R8">
        <f t="shared" si="4"/>
        <v>0.9</v>
      </c>
      <c r="T8">
        <f t="shared" si="5"/>
        <v>0.23570226039550868</v>
      </c>
    </row>
    <row r="9" spans="1:20" x14ac:dyDescent="0.25">
      <c r="B9">
        <v>126</v>
      </c>
      <c r="C9" t="str">
        <f t="shared" si="1"/>
        <v>හීන් කඩොල්/ ඇවරි කඩොල්</v>
      </c>
      <c r="D9" s="35" t="str">
        <f t="shared" si="0"/>
        <v>Aegiceras corniculatum</v>
      </c>
      <c r="E9">
        <v>13.71</v>
      </c>
      <c r="F9">
        <v>1.04</v>
      </c>
      <c r="G9" t="s">
        <v>12</v>
      </c>
      <c r="J9">
        <v>6</v>
      </c>
      <c r="K9">
        <v>2</v>
      </c>
      <c r="L9">
        <v>5</v>
      </c>
      <c r="O9" s="9">
        <f t="shared" si="2"/>
        <v>0.20089762031313171</v>
      </c>
      <c r="P9" s="9">
        <f t="shared" si="3"/>
        <v>0.18080785828181856</v>
      </c>
      <c r="R9">
        <f t="shared" si="4"/>
        <v>0.9</v>
      </c>
      <c r="T9">
        <f t="shared" si="5"/>
        <v>0.23570226039550868</v>
      </c>
    </row>
    <row r="10" spans="1:20" x14ac:dyDescent="0.25">
      <c r="B10">
        <v>127</v>
      </c>
      <c r="C10" t="str">
        <f t="shared" si="1"/>
        <v>හීන් කඩොල්/ ඇවරි කඩොල්</v>
      </c>
      <c r="D10" s="35" t="str">
        <f t="shared" si="0"/>
        <v>Aegiceras corniculatum</v>
      </c>
      <c r="E10">
        <v>14.63</v>
      </c>
      <c r="F10">
        <v>1</v>
      </c>
      <c r="G10" t="s">
        <v>12</v>
      </c>
      <c r="J10">
        <v>6</v>
      </c>
      <c r="K10">
        <v>1</v>
      </c>
      <c r="L10">
        <v>4</v>
      </c>
      <c r="O10" s="9">
        <f t="shared" si="2"/>
        <v>0.20568837530972348</v>
      </c>
      <c r="P10" s="9">
        <f t="shared" si="3"/>
        <v>0.18511953777875112</v>
      </c>
      <c r="R10">
        <f t="shared" si="4"/>
        <v>0.9</v>
      </c>
      <c r="T10">
        <f t="shared" si="5"/>
        <v>0.23570226039550868</v>
      </c>
    </row>
    <row r="11" spans="1:20" x14ac:dyDescent="0.25">
      <c r="B11">
        <v>128</v>
      </c>
      <c r="C11" t="str">
        <f t="shared" si="1"/>
        <v>හීන් කඩොල්/ ඇවරි කඩොල්</v>
      </c>
      <c r="D11" s="35" t="str">
        <f t="shared" si="0"/>
        <v>Aegiceras corniculatum</v>
      </c>
      <c r="E11">
        <v>11.03</v>
      </c>
      <c r="F11">
        <v>0.71</v>
      </c>
      <c r="G11" t="s">
        <v>12</v>
      </c>
      <c r="J11">
        <v>6</v>
      </c>
      <c r="K11">
        <v>1</v>
      </c>
      <c r="L11">
        <v>2</v>
      </c>
      <c r="O11" s="9">
        <f t="shared" si="2"/>
        <v>0.11603733926576797</v>
      </c>
      <c r="P11" s="9">
        <f t="shared" si="3"/>
        <v>0.10443360533919117</v>
      </c>
      <c r="R11">
        <f t="shared" si="4"/>
        <v>0.9</v>
      </c>
      <c r="T11">
        <f t="shared" si="5"/>
        <v>0.23570226039550868</v>
      </c>
    </row>
    <row r="12" spans="1:20" x14ac:dyDescent="0.25">
      <c r="B12">
        <v>129</v>
      </c>
      <c r="C12" t="str">
        <f t="shared" si="1"/>
        <v>බේරිය</v>
      </c>
      <c r="D12" s="35" t="str">
        <f t="shared" si="0"/>
        <v>Lumitzera racemosa</v>
      </c>
      <c r="E12">
        <v>15.08</v>
      </c>
      <c r="F12">
        <v>1.27</v>
      </c>
      <c r="G12" t="s">
        <v>12</v>
      </c>
      <c r="J12">
        <v>1</v>
      </c>
      <c r="K12">
        <v>8</v>
      </c>
      <c r="L12">
        <v>10</v>
      </c>
      <c r="O12" s="9">
        <f t="shared" si="2"/>
        <v>0.32830943473820023</v>
      </c>
      <c r="P12" s="9">
        <f t="shared" si="3"/>
        <v>0.29547849126438019</v>
      </c>
      <c r="R12">
        <f t="shared" si="4"/>
        <v>0.9</v>
      </c>
      <c r="T12">
        <f t="shared" si="5"/>
        <v>0.23570226039550868</v>
      </c>
    </row>
    <row r="13" spans="1:20" x14ac:dyDescent="0.25">
      <c r="B13">
        <v>134</v>
      </c>
      <c r="C13" t="str">
        <f t="shared" si="1"/>
        <v>හීන් කඩොල්/ ඇවරි කඩොල්</v>
      </c>
      <c r="D13" s="35" t="str">
        <f t="shared" si="0"/>
        <v>Aegiceras corniculatum</v>
      </c>
      <c r="E13">
        <v>12.57</v>
      </c>
      <c r="F13">
        <v>0.64</v>
      </c>
      <c r="G13" t="s">
        <v>12</v>
      </c>
      <c r="J13">
        <v>6</v>
      </c>
      <c r="K13">
        <v>1</v>
      </c>
      <c r="L13">
        <v>1</v>
      </c>
      <c r="O13" s="9">
        <f t="shared" si="2"/>
        <v>0.1189317791126136</v>
      </c>
      <c r="P13" s="9">
        <f t="shared" si="3"/>
        <v>0.10703860120135224</v>
      </c>
      <c r="R13">
        <f t="shared" si="4"/>
        <v>0.9</v>
      </c>
      <c r="T13">
        <f t="shared" si="5"/>
        <v>0.23570226039550868</v>
      </c>
    </row>
    <row r="14" spans="1:20" x14ac:dyDescent="0.25">
      <c r="B14">
        <v>135</v>
      </c>
      <c r="C14" t="str">
        <f t="shared" si="1"/>
        <v>තෙලකීරිය</v>
      </c>
      <c r="D14" s="35" t="str">
        <f t="shared" si="0"/>
        <v>Excoecaria agallocha</v>
      </c>
      <c r="E14">
        <v>70</v>
      </c>
      <c r="F14">
        <v>2.35</v>
      </c>
      <c r="G14" t="s">
        <v>12</v>
      </c>
      <c r="J14">
        <v>4</v>
      </c>
      <c r="K14">
        <v>3</v>
      </c>
      <c r="L14">
        <v>6</v>
      </c>
      <c r="O14" s="9">
        <f t="shared" si="2"/>
        <v>1.5704508559655637</v>
      </c>
      <c r="P14" s="9">
        <f t="shared" si="3"/>
        <v>1.4134057703690073</v>
      </c>
      <c r="R14">
        <f t="shared" si="4"/>
        <v>0.9</v>
      </c>
      <c r="T14">
        <f t="shared" si="5"/>
        <v>0.23570226039550868</v>
      </c>
    </row>
    <row r="15" spans="1:20" x14ac:dyDescent="0.25">
      <c r="B15">
        <v>136</v>
      </c>
      <c r="C15" t="str">
        <f t="shared" si="1"/>
        <v>හීන් කඩොල්/ ඇවරි කඩොල්</v>
      </c>
      <c r="D15" s="35" t="str">
        <f t="shared" si="0"/>
        <v>Aegiceras corniculatum</v>
      </c>
      <c r="E15">
        <v>11.45</v>
      </c>
      <c r="F15">
        <v>1.3</v>
      </c>
      <c r="G15" t="s">
        <v>12</v>
      </c>
      <c r="J15">
        <v>6</v>
      </c>
      <c r="K15">
        <v>1</v>
      </c>
      <c r="L15">
        <v>1</v>
      </c>
      <c r="O15" s="9">
        <f t="shared" si="2"/>
        <v>0.20896997057651046</v>
      </c>
      <c r="P15" s="9">
        <f t="shared" si="3"/>
        <v>0.1880729735188594</v>
      </c>
      <c r="R15">
        <f t="shared" si="4"/>
        <v>0.9</v>
      </c>
      <c r="T15">
        <f t="shared" si="5"/>
        <v>0.23570226039550868</v>
      </c>
    </row>
    <row r="16" spans="1:20" x14ac:dyDescent="0.25">
      <c r="B16">
        <v>137</v>
      </c>
      <c r="C16" t="str">
        <f t="shared" si="1"/>
        <v>හීන් කඩොල්/ ඇවරි කඩොල්</v>
      </c>
      <c r="D16" s="35" t="str">
        <f t="shared" si="0"/>
        <v>Aegiceras corniculatum</v>
      </c>
      <c r="E16">
        <v>15.14</v>
      </c>
      <c r="F16">
        <v>0.79</v>
      </c>
      <c r="G16" t="s">
        <v>12</v>
      </c>
      <c r="J16">
        <v>6</v>
      </c>
      <c r="K16">
        <v>1</v>
      </c>
      <c r="L16">
        <v>1</v>
      </c>
      <c r="O16" s="9">
        <f t="shared" si="2"/>
        <v>0.17102817532772763</v>
      </c>
      <c r="P16" s="9">
        <f t="shared" si="3"/>
        <v>0.15392535779495486</v>
      </c>
      <c r="R16">
        <f t="shared" si="4"/>
        <v>0.9</v>
      </c>
      <c r="T16">
        <f t="shared" si="5"/>
        <v>0.23570226039550868</v>
      </c>
    </row>
    <row r="17" spans="2:20" x14ac:dyDescent="0.25">
      <c r="B17">
        <v>130</v>
      </c>
      <c r="C17" t="str">
        <f t="shared" si="1"/>
        <v>හීන් කඩොල්/ ඇවරි කඩොල්</v>
      </c>
      <c r="D17" s="35" t="str">
        <f t="shared" si="0"/>
        <v>Aegiceras corniculatum</v>
      </c>
      <c r="E17">
        <v>14.21</v>
      </c>
      <c r="F17">
        <v>0.91</v>
      </c>
      <c r="G17" t="s">
        <v>12</v>
      </c>
      <c r="J17">
        <v>6</v>
      </c>
      <c r="K17">
        <v>1</v>
      </c>
      <c r="L17">
        <v>3</v>
      </c>
      <c r="O17" s="9">
        <f t="shared" si="2"/>
        <v>0.18369783411853041</v>
      </c>
      <c r="P17" s="9">
        <f t="shared" si="3"/>
        <v>0.16532805070667739</v>
      </c>
      <c r="R17">
        <f t="shared" si="4"/>
        <v>0.9</v>
      </c>
      <c r="T17">
        <f t="shared" si="5"/>
        <v>0.23570226039550868</v>
      </c>
    </row>
    <row r="18" spans="2:20" x14ac:dyDescent="0.25">
      <c r="B18">
        <v>131</v>
      </c>
      <c r="C18" t="str">
        <f t="shared" si="1"/>
        <v>හීන් කඩොල්/ ඇවරි කඩොල්</v>
      </c>
      <c r="D18" s="35" t="str">
        <f t="shared" si="0"/>
        <v>Aegiceras corniculatum</v>
      </c>
      <c r="E18">
        <v>14.21</v>
      </c>
      <c r="F18">
        <v>1.07</v>
      </c>
      <c r="G18" t="s">
        <v>14</v>
      </c>
      <c r="J18">
        <v>6</v>
      </c>
      <c r="K18">
        <v>1</v>
      </c>
      <c r="L18">
        <v>3</v>
      </c>
      <c r="O18" s="9">
        <f t="shared" si="2"/>
        <v>0.21307753343901056</v>
      </c>
      <c r="P18" s="9">
        <f t="shared" si="3"/>
        <v>0.15980815007925792</v>
      </c>
      <c r="R18">
        <f t="shared" si="4"/>
        <v>0.75</v>
      </c>
      <c r="T18">
        <f t="shared" si="5"/>
        <v>-4.0069384267237762</v>
      </c>
    </row>
    <row r="19" spans="2:20" x14ac:dyDescent="0.25">
      <c r="B19">
        <v>133</v>
      </c>
      <c r="C19" t="str">
        <f t="shared" si="1"/>
        <v>මණ්ඩ</v>
      </c>
      <c r="D19" s="35" t="str">
        <f t="shared" si="0"/>
        <v>Avicenia marina</v>
      </c>
      <c r="E19">
        <v>11.42</v>
      </c>
      <c r="F19">
        <v>0.64</v>
      </c>
      <c r="G19" t="s">
        <v>12</v>
      </c>
      <c r="J19">
        <v>2</v>
      </c>
      <c r="K19">
        <v>1</v>
      </c>
      <c r="L19">
        <v>1</v>
      </c>
      <c r="O19" s="9">
        <f t="shared" si="2"/>
        <v>0.11435542464578037</v>
      </c>
      <c r="P19" s="9">
        <f t="shared" si="3"/>
        <v>0.10291988218120234</v>
      </c>
      <c r="R19">
        <f t="shared" si="4"/>
        <v>0.9</v>
      </c>
      <c r="T19">
        <f t="shared" si="5"/>
        <v>0.23570226039550868</v>
      </c>
    </row>
    <row r="20" spans="2:20" x14ac:dyDescent="0.25">
      <c r="B20">
        <v>132</v>
      </c>
      <c r="C20" t="str">
        <f t="shared" si="1"/>
        <v>මණ්ඩ</v>
      </c>
      <c r="D20" s="35" t="str">
        <f t="shared" si="0"/>
        <v>Avicenia marina</v>
      </c>
      <c r="E20">
        <v>15.28</v>
      </c>
      <c r="F20">
        <v>1.19</v>
      </c>
      <c r="G20" t="s">
        <v>12</v>
      </c>
      <c r="J20">
        <v>2</v>
      </c>
      <c r="K20">
        <v>1</v>
      </c>
      <c r="L20">
        <v>4</v>
      </c>
      <c r="O20" s="9">
        <f t="shared" si="2"/>
        <v>0.26353103804168249</v>
      </c>
      <c r="P20" s="9">
        <f t="shared" si="3"/>
        <v>0.23717793423751424</v>
      </c>
      <c r="R20">
        <f t="shared" si="4"/>
        <v>0.9</v>
      </c>
      <c r="T20">
        <f t="shared" si="5"/>
        <v>0.23570226039550868</v>
      </c>
    </row>
    <row r="21" spans="2:20" x14ac:dyDescent="0.25">
      <c r="B21">
        <v>138</v>
      </c>
      <c r="C21" t="str">
        <f t="shared" si="1"/>
        <v>බේරිය</v>
      </c>
      <c r="D21" s="35" t="str">
        <f t="shared" si="0"/>
        <v>Lumitzera racemosa</v>
      </c>
      <c r="E21">
        <v>10.43</v>
      </c>
      <c r="F21">
        <v>0.46</v>
      </c>
      <c r="G21" t="s">
        <v>12</v>
      </c>
      <c r="J21">
        <v>1</v>
      </c>
      <c r="K21">
        <v>6</v>
      </c>
      <c r="L21">
        <v>5</v>
      </c>
      <c r="O21" s="9">
        <f t="shared" si="2"/>
        <v>9.2388544763011754E-2</v>
      </c>
      <c r="P21" s="9">
        <f t="shared" si="3"/>
        <v>8.3149690286710584E-2</v>
      </c>
      <c r="R21">
        <f t="shared" si="4"/>
        <v>0.9</v>
      </c>
      <c r="T21">
        <f t="shared" si="5"/>
        <v>0.23570226039550868</v>
      </c>
    </row>
    <row r="23" spans="2:20" ht="60" x14ac:dyDescent="0.25">
      <c r="O23" s="24" t="s">
        <v>106</v>
      </c>
      <c r="P23" s="23">
        <f>SUM(P4:P21)</f>
        <v>4.0045066221034098</v>
      </c>
      <c r="Q23" s="66" t="s">
        <v>169</v>
      </c>
      <c r="R23">
        <f>AVERAGE(R4:R21)</f>
        <v>0.89166666666666694</v>
      </c>
    </row>
    <row r="24" spans="2:20" x14ac:dyDescent="0.25">
      <c r="Q24" t="s">
        <v>170</v>
      </c>
      <c r="R24">
        <f>STDEV(R4:R21)</f>
        <v>3.5355339059327383E-2</v>
      </c>
    </row>
    <row r="26" spans="2:20" x14ac:dyDescent="0.25">
      <c r="O26" s="21" t="s">
        <v>97</v>
      </c>
      <c r="P26" s="21"/>
      <c r="Q26" s="21"/>
      <c r="R26" s="21"/>
    </row>
    <row r="27" spans="2:20" x14ac:dyDescent="0.25">
      <c r="O27" s="21" t="s">
        <v>107</v>
      </c>
      <c r="P27" s="21">
        <f>1.24*P23</f>
        <v>4.9655882114082281</v>
      </c>
      <c r="Q27" s="21"/>
      <c r="R27" s="21"/>
    </row>
    <row r="28" spans="2:20" x14ac:dyDescent="0.25">
      <c r="O28" s="21"/>
      <c r="P28" s="21"/>
      <c r="Q28" s="21"/>
      <c r="R28" s="21"/>
    </row>
    <row r="29" spans="2:20" x14ac:dyDescent="0.25">
      <c r="O29" s="21"/>
      <c r="P29" s="21"/>
      <c r="Q29" s="21"/>
      <c r="R29" s="21"/>
    </row>
    <row r="30" spans="2:20" x14ac:dyDescent="0.25">
      <c r="O30" s="21" t="s">
        <v>109</v>
      </c>
      <c r="P30" s="21"/>
      <c r="Q30" s="21"/>
      <c r="R30" s="21"/>
    </row>
    <row r="31" spans="2:20" ht="30" x14ac:dyDescent="0.25">
      <c r="O31" s="26" t="s">
        <v>108</v>
      </c>
      <c r="P31" s="21">
        <f>1.2*P27</f>
        <v>5.9587058536898736</v>
      </c>
      <c r="Q31" s="21"/>
      <c r="R31" s="21"/>
    </row>
    <row r="32" spans="2:20" x14ac:dyDescent="0.25">
      <c r="O32" s="21"/>
      <c r="P32" s="21"/>
      <c r="Q32" s="21"/>
      <c r="R32" s="21"/>
    </row>
    <row r="33" spans="15:18" x14ac:dyDescent="0.25">
      <c r="O33" s="21"/>
      <c r="P33" s="21"/>
      <c r="Q33" s="21"/>
      <c r="R33" s="21"/>
    </row>
    <row r="34" spans="15:18" ht="30" x14ac:dyDescent="0.25">
      <c r="O34" s="49" t="s">
        <v>135</v>
      </c>
      <c r="P34" s="44" t="s">
        <v>136</v>
      </c>
    </row>
    <row r="35" spans="15:18" ht="30" x14ac:dyDescent="0.25">
      <c r="O35" s="46" t="s">
        <v>138</v>
      </c>
      <c r="P35" s="45">
        <f>1.83*P27</f>
        <v>9.087026426877058</v>
      </c>
    </row>
  </sheetData>
  <mergeCells count="2">
    <mergeCell ref="A1:L1"/>
    <mergeCell ref="A2:L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4"/>
  <sheetViews>
    <sheetView topLeftCell="A6" zoomScale="55" zoomScaleNormal="55" workbookViewId="0">
      <selection activeCell="V6" sqref="V6"/>
    </sheetView>
  </sheetViews>
  <sheetFormatPr defaultRowHeight="15" x14ac:dyDescent="0.25"/>
  <cols>
    <col min="3" max="3" width="23.7109375" customWidth="1"/>
    <col min="4" max="4" width="24" customWidth="1"/>
    <col min="5" max="5" width="14.5703125" customWidth="1"/>
    <col min="6" max="6" width="17.7109375" customWidth="1"/>
    <col min="7" max="7" width="18.7109375" customWidth="1"/>
    <col min="8" max="8" width="15.140625" customWidth="1"/>
    <col min="11" max="11" width="14" customWidth="1"/>
    <col min="12" max="12" width="13.42578125" customWidth="1"/>
    <col min="13" max="13" width="13.140625" customWidth="1"/>
    <col min="15" max="15" width="19.140625" customWidth="1"/>
    <col min="16" max="16" width="18.140625" customWidth="1"/>
    <col min="17" max="17" width="15.140625" customWidth="1"/>
    <col min="18" max="18" width="15.570312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45" customHeight="1" x14ac:dyDescent="0.25">
      <c r="A3" s="2" t="s">
        <v>0</v>
      </c>
      <c r="B3" s="2" t="s">
        <v>1</v>
      </c>
      <c r="C3" s="2" t="s">
        <v>2</v>
      </c>
      <c r="D3" s="2" t="s">
        <v>3</v>
      </c>
      <c r="E3" s="2" t="s">
        <v>35</v>
      </c>
      <c r="F3" s="2" t="s">
        <v>10</v>
      </c>
      <c r="G3" s="2" t="s">
        <v>11</v>
      </c>
      <c r="H3" s="1" t="s">
        <v>5</v>
      </c>
      <c r="I3" s="2" t="s">
        <v>6</v>
      </c>
      <c r="J3" s="2" t="s">
        <v>7</v>
      </c>
      <c r="K3" s="2" t="s">
        <v>8</v>
      </c>
      <c r="L3" s="2" t="s">
        <v>9</v>
      </c>
      <c r="M3" s="2" t="s">
        <v>4</v>
      </c>
      <c r="O3" s="13" t="s">
        <v>79</v>
      </c>
      <c r="P3" s="18" t="s">
        <v>80</v>
      </c>
      <c r="R3" s="66" t="s">
        <v>168</v>
      </c>
      <c r="T3" s="66" t="s">
        <v>171</v>
      </c>
    </row>
    <row r="4" spans="1:20" x14ac:dyDescent="0.25">
      <c r="A4" s="8">
        <v>5</v>
      </c>
      <c r="B4" s="3">
        <v>139</v>
      </c>
      <c r="C4" s="55" t="str">
        <f>IF(J4=1,"බේරිය",IF(J4=2,"මණ්ඩ",IF(J4=3,"කඩොල්",IF(J4=4,"තෙලකීරිය","හීන් කඩොල්/ ඇවරි කඩොල්"))))</f>
        <v>මණ්ඩ</v>
      </c>
      <c r="D4" s="56" t="str">
        <f t="shared" ref="D4:D60" si="0">IF(J4=1,"Lumitzera racemosa",IF(J4=2,"Avicenia marina",IF(J4=3,"Rhizophora spp.",IF(J4=4,"Excoecaria agallocha","Aegiceras corniculatum"))))</f>
        <v>Avicenia marina</v>
      </c>
      <c r="E4" s="3">
        <v>16</v>
      </c>
      <c r="F4" s="3">
        <v>3.5</v>
      </c>
      <c r="G4" s="3" t="s">
        <v>12</v>
      </c>
      <c r="H4" s="3"/>
      <c r="I4" s="3"/>
      <c r="J4" s="3">
        <v>2</v>
      </c>
      <c r="K4" s="3"/>
      <c r="L4" s="3"/>
      <c r="M4">
        <f>10*E4/PI()</f>
        <v>50.929581789406512</v>
      </c>
      <c r="O4" s="9">
        <f>0.251*(IF(J4=1,0.7,IF(J4=2,0.58,IF(J4=3,0.62,IF(J4=4,0.45,0.55))))*M4/10*F4)^0.916</f>
        <v>2.1326751714622874</v>
      </c>
      <c r="P4" s="9">
        <f>O4*IF(G4="A",1,IF(G4="B",0.9,IF(G4="C",0.75,0.5)))</f>
        <v>1.9194076543160588</v>
      </c>
      <c r="R4">
        <f>IF(G4="A",1,IF(G4="B",0.9,IF(G4="C",0.75,0.5)))</f>
        <v>0.9</v>
      </c>
      <c r="T4">
        <f>STANDARDIZE(R4,$R$62,$R$63)</f>
        <v>0.17153730721898461</v>
      </c>
    </row>
    <row r="5" spans="1:20" x14ac:dyDescent="0.25">
      <c r="A5" s="8"/>
      <c r="B5" s="3">
        <v>140</v>
      </c>
      <c r="C5" s="55"/>
      <c r="D5" s="56"/>
      <c r="E5" s="3">
        <v>140</v>
      </c>
      <c r="F5" s="3"/>
      <c r="G5" s="3" t="s">
        <v>12</v>
      </c>
      <c r="H5" s="3"/>
      <c r="I5" s="3"/>
      <c r="J5" s="3"/>
      <c r="K5" s="3"/>
      <c r="L5" s="3"/>
      <c r="M5">
        <f t="shared" ref="M5:M60" si="1">10*E5/PI()</f>
        <v>445.63384065730696</v>
      </c>
      <c r="O5" s="9">
        <f>0.251*(IF(J5=1,0.7,IF(J5=2,0.58,IF(J5=3,0.62,IF(J5=4,0.45,0.55))))*M5/10*F4)^0.916</f>
        <v>14.814134077383677</v>
      </c>
      <c r="P5" s="9">
        <f t="shared" ref="P5:P60" si="2">O5*IF(G5="A",1,IF(G5="B",0.9,IF(G5="C",0.75,0.5)))</f>
        <v>13.33272066964531</v>
      </c>
      <c r="R5">
        <f t="shared" ref="R5:R60" si="3">IF(G5="A",1,IF(G5="B",0.9,IF(G5="C",0.75,0.5)))</f>
        <v>0.9</v>
      </c>
      <c r="T5">
        <f t="shared" ref="T5:T60" si="4">STANDARDIZE(R5,$R$62,$R$63)</f>
        <v>0.17153730721898461</v>
      </c>
    </row>
    <row r="6" spans="1:20" x14ac:dyDescent="0.25">
      <c r="A6" s="8"/>
      <c r="B6" s="3">
        <v>141</v>
      </c>
      <c r="C6" s="55"/>
      <c r="D6" s="56"/>
      <c r="E6" s="3">
        <v>24</v>
      </c>
      <c r="F6" s="3"/>
      <c r="G6" s="3" t="s">
        <v>12</v>
      </c>
      <c r="H6" s="3"/>
      <c r="I6" s="3"/>
      <c r="J6" s="3"/>
      <c r="K6" s="3"/>
      <c r="L6" s="3"/>
      <c r="M6">
        <f t="shared" si="1"/>
        <v>76.394372684109769</v>
      </c>
      <c r="O6" s="9">
        <f>0.251*(IF(J6=1,0.7,IF(J6=2,0.58,IF(J6=3,0.62,IF(J6=4,0.45,0.55))))*M6/10*F4)^0.916</f>
        <v>2.945075872000348</v>
      </c>
      <c r="P6" s="9">
        <f t="shared" si="2"/>
        <v>2.6505682848003134</v>
      </c>
      <c r="R6">
        <f t="shared" si="3"/>
        <v>0.9</v>
      </c>
      <c r="T6">
        <f t="shared" si="4"/>
        <v>0.17153730721898461</v>
      </c>
    </row>
    <row r="7" spans="1:20" x14ac:dyDescent="0.25">
      <c r="A7" s="8"/>
      <c r="B7" s="3">
        <v>142</v>
      </c>
      <c r="C7" s="55"/>
      <c r="D7" s="56"/>
      <c r="E7" s="3">
        <v>28</v>
      </c>
      <c r="F7" s="3"/>
      <c r="G7" s="3" t="s">
        <v>12</v>
      </c>
      <c r="H7" s="3"/>
      <c r="I7" s="3"/>
      <c r="J7" s="3"/>
      <c r="K7" s="3"/>
      <c r="L7" s="3"/>
      <c r="M7">
        <f t="shared" si="1"/>
        <v>89.12676813146139</v>
      </c>
      <c r="O7" s="9">
        <f>0.251*(IF(J7=1,0.7,IF(J7=2,0.58,IF(J7=3,0.62,IF(J7=4,0.45,0.55))))*M7/10*F4)^0.916</f>
        <v>3.3917180841164494</v>
      </c>
      <c r="P7" s="9">
        <f t="shared" si="2"/>
        <v>3.0525462757048043</v>
      </c>
      <c r="R7">
        <f t="shared" si="3"/>
        <v>0.9</v>
      </c>
      <c r="T7">
        <f t="shared" si="4"/>
        <v>0.17153730721898461</v>
      </c>
    </row>
    <row r="8" spans="1:20" x14ac:dyDescent="0.25">
      <c r="A8" s="8"/>
      <c r="B8" s="4">
        <v>143</v>
      </c>
      <c r="C8" s="4" t="str">
        <f t="shared" ref="C8:C60" si="5">IF(J8=1,"බේරිය",IF(J8=2,"මණ්ඩ",IF(J8=3,"කඩොල්",IF(J8=4,"තෙලකීරිය","හීන් කඩොල්/ ඇවරි කඩොල්"))))</f>
        <v>බේරිය</v>
      </c>
      <c r="D8" s="57" t="str">
        <f t="shared" si="0"/>
        <v>Lumitzera racemosa</v>
      </c>
      <c r="E8" s="4">
        <v>31</v>
      </c>
      <c r="F8" s="4">
        <v>3.5</v>
      </c>
      <c r="G8" s="4" t="s">
        <v>12</v>
      </c>
      <c r="H8" s="4"/>
      <c r="I8" s="4"/>
      <c r="J8" s="4">
        <v>1</v>
      </c>
      <c r="K8" s="4"/>
      <c r="L8" s="4"/>
      <c r="M8">
        <f t="shared" si="1"/>
        <v>98.676064716975105</v>
      </c>
      <c r="O8" s="9">
        <f t="shared" ref="O8:O60" si="6">0.251*(IF(J8=1,0.7,IF(J8=2,0.58,IF(J8=3,0.62,IF(J8=4,0.45,0.55))))*M8/10*F8)^0.916</f>
        <v>4.6435260142597823</v>
      </c>
      <c r="P8" s="9">
        <f t="shared" si="2"/>
        <v>4.1791734128338041</v>
      </c>
      <c r="R8">
        <f t="shared" si="3"/>
        <v>0.9</v>
      </c>
      <c r="T8">
        <f t="shared" si="4"/>
        <v>0.17153730721898461</v>
      </c>
    </row>
    <row r="9" spans="1:20" x14ac:dyDescent="0.25">
      <c r="A9" s="8"/>
      <c r="B9" s="5">
        <v>144</v>
      </c>
      <c r="C9" s="5" t="str">
        <f t="shared" si="5"/>
        <v>බේරිය</v>
      </c>
      <c r="D9" s="58" t="str">
        <f t="shared" si="0"/>
        <v>Lumitzera racemosa</v>
      </c>
      <c r="E9" s="5">
        <v>19</v>
      </c>
      <c r="F9" s="5">
        <v>3</v>
      </c>
      <c r="G9" s="5" t="s">
        <v>12</v>
      </c>
      <c r="H9" s="5"/>
      <c r="I9" s="5"/>
      <c r="J9" s="5">
        <v>1</v>
      </c>
      <c r="K9" s="5"/>
      <c r="L9" s="5"/>
      <c r="M9">
        <f t="shared" si="1"/>
        <v>60.478878374920228</v>
      </c>
      <c r="O9" s="9">
        <f t="shared" si="6"/>
        <v>2.5749903779754773</v>
      </c>
      <c r="P9" s="9">
        <f t="shared" si="2"/>
        <v>2.3174913401779298</v>
      </c>
      <c r="R9">
        <f t="shared" si="3"/>
        <v>0.9</v>
      </c>
      <c r="T9">
        <f t="shared" si="4"/>
        <v>0.17153730721898461</v>
      </c>
    </row>
    <row r="10" spans="1:20" x14ac:dyDescent="0.25">
      <c r="B10" s="4">
        <v>145</v>
      </c>
      <c r="C10" s="4" t="str">
        <f t="shared" si="5"/>
        <v>බේරිය</v>
      </c>
      <c r="D10" s="57" t="str">
        <f t="shared" si="0"/>
        <v>Lumitzera racemosa</v>
      </c>
      <c r="E10" s="4">
        <v>23</v>
      </c>
      <c r="F10" s="4">
        <v>3</v>
      </c>
      <c r="G10" s="4" t="s">
        <v>12</v>
      </c>
      <c r="H10" s="4"/>
      <c r="I10" s="4"/>
      <c r="J10" s="4">
        <v>1</v>
      </c>
      <c r="K10" s="4"/>
      <c r="L10" s="4"/>
      <c r="M10">
        <f t="shared" si="1"/>
        <v>73.211273822271863</v>
      </c>
      <c r="O10" s="9">
        <f t="shared" si="6"/>
        <v>3.0674677812101865</v>
      </c>
      <c r="P10" s="9">
        <f t="shared" si="2"/>
        <v>2.7607210030891678</v>
      </c>
      <c r="R10">
        <f t="shared" si="3"/>
        <v>0.9</v>
      </c>
      <c r="T10">
        <f t="shared" si="4"/>
        <v>0.17153730721898461</v>
      </c>
    </row>
    <row r="11" spans="1:20" x14ac:dyDescent="0.25">
      <c r="B11" s="5">
        <v>146</v>
      </c>
      <c r="C11" s="5" t="str">
        <f t="shared" si="5"/>
        <v>බේරිය</v>
      </c>
      <c r="D11" s="58" t="str">
        <f t="shared" si="0"/>
        <v>Lumitzera racemosa</v>
      </c>
      <c r="E11" s="5">
        <v>23</v>
      </c>
      <c r="F11" s="5">
        <v>3</v>
      </c>
      <c r="G11" s="5" t="s">
        <v>12</v>
      </c>
      <c r="H11" s="5"/>
      <c r="I11" s="5"/>
      <c r="J11" s="5">
        <v>1</v>
      </c>
      <c r="K11" s="5"/>
      <c r="L11" s="5"/>
      <c r="M11">
        <f t="shared" si="1"/>
        <v>73.211273822271863</v>
      </c>
      <c r="O11" s="9">
        <f t="shared" si="6"/>
        <v>3.0674677812101865</v>
      </c>
      <c r="P11" s="9">
        <f t="shared" si="2"/>
        <v>2.7607210030891678</v>
      </c>
      <c r="R11">
        <f t="shared" si="3"/>
        <v>0.9</v>
      </c>
      <c r="T11">
        <f t="shared" si="4"/>
        <v>0.17153730721898461</v>
      </c>
    </row>
    <row r="12" spans="1:20" x14ac:dyDescent="0.25">
      <c r="B12" s="4">
        <v>147</v>
      </c>
      <c r="C12" s="4" t="str">
        <f t="shared" si="5"/>
        <v>මණ්ඩ</v>
      </c>
      <c r="D12" s="57" t="str">
        <f t="shared" si="0"/>
        <v>Avicenia marina</v>
      </c>
      <c r="E12" s="4">
        <v>23</v>
      </c>
      <c r="F12" s="4">
        <v>2.5</v>
      </c>
      <c r="G12" s="4" t="s">
        <v>12</v>
      </c>
      <c r="H12" s="4"/>
      <c r="I12" s="4"/>
      <c r="J12" s="4">
        <v>2</v>
      </c>
      <c r="K12" s="4"/>
      <c r="L12" s="4"/>
      <c r="M12">
        <f t="shared" si="1"/>
        <v>73.211273822271863</v>
      </c>
      <c r="O12" s="9">
        <f t="shared" si="6"/>
        <v>2.1849435745179258</v>
      </c>
      <c r="P12" s="9">
        <f t="shared" si="2"/>
        <v>1.9664492170661332</v>
      </c>
      <c r="R12">
        <f t="shared" si="3"/>
        <v>0.9</v>
      </c>
      <c r="T12">
        <f t="shared" si="4"/>
        <v>0.17153730721898461</v>
      </c>
    </row>
    <row r="13" spans="1:20" x14ac:dyDescent="0.25">
      <c r="B13" s="5">
        <v>148</v>
      </c>
      <c r="C13" s="5" t="str">
        <f t="shared" si="5"/>
        <v>බේරිය</v>
      </c>
      <c r="D13" s="58" t="str">
        <f t="shared" si="0"/>
        <v>Lumitzera racemosa</v>
      </c>
      <c r="E13" s="5">
        <v>24</v>
      </c>
      <c r="F13" s="5">
        <v>2</v>
      </c>
      <c r="G13" s="5" t="s">
        <v>12</v>
      </c>
      <c r="H13" s="5"/>
      <c r="I13" s="5"/>
      <c r="J13" s="5">
        <v>1</v>
      </c>
      <c r="K13" s="5"/>
      <c r="L13" s="5"/>
      <c r="M13">
        <f t="shared" si="1"/>
        <v>76.394372684109769</v>
      </c>
      <c r="O13" s="9">
        <f t="shared" si="6"/>
        <v>2.1999419244869176</v>
      </c>
      <c r="P13" s="9">
        <f t="shared" si="2"/>
        <v>1.9799477320382259</v>
      </c>
      <c r="R13">
        <f t="shared" si="3"/>
        <v>0.9</v>
      </c>
      <c r="T13">
        <f t="shared" si="4"/>
        <v>0.17153730721898461</v>
      </c>
    </row>
    <row r="14" spans="1:20" x14ac:dyDescent="0.25">
      <c r="B14" s="4">
        <v>149</v>
      </c>
      <c r="C14" s="4" t="str">
        <f t="shared" si="5"/>
        <v>බේරිය</v>
      </c>
      <c r="D14" s="57" t="str">
        <f t="shared" si="0"/>
        <v>Lumitzera racemosa</v>
      </c>
      <c r="E14" s="4">
        <v>15.5</v>
      </c>
      <c r="F14" s="4">
        <v>2.5</v>
      </c>
      <c r="G14" s="4" t="s">
        <v>12</v>
      </c>
      <c r="H14" s="4"/>
      <c r="I14" s="4"/>
      <c r="J14" s="4">
        <v>1</v>
      </c>
      <c r="K14" s="4"/>
      <c r="L14" s="4"/>
      <c r="M14">
        <f t="shared" si="1"/>
        <v>49.338032358487553</v>
      </c>
      <c r="O14" s="9">
        <f t="shared" si="6"/>
        <v>1.8082194076138374</v>
      </c>
      <c r="P14" s="9">
        <f t="shared" si="2"/>
        <v>1.6273974668524536</v>
      </c>
      <c r="R14">
        <f t="shared" si="3"/>
        <v>0.9</v>
      </c>
      <c r="T14">
        <f t="shared" si="4"/>
        <v>0.17153730721898461</v>
      </c>
    </row>
    <row r="15" spans="1:20" x14ac:dyDescent="0.25">
      <c r="B15" s="4">
        <v>150</v>
      </c>
      <c r="C15" s="4"/>
      <c r="D15" s="57"/>
      <c r="E15" s="4">
        <v>21</v>
      </c>
      <c r="F15" s="4"/>
      <c r="G15" s="4" t="s">
        <v>12</v>
      </c>
      <c r="H15" s="4"/>
      <c r="I15" s="4"/>
      <c r="J15" s="4"/>
      <c r="K15" s="4"/>
      <c r="L15" s="4"/>
      <c r="M15">
        <f t="shared" si="1"/>
        <v>66.845076098596039</v>
      </c>
      <c r="O15" s="9">
        <f>0.251*(IF(J15=1,0.7,IF(J15=2,0.58,IF(J15=3,0.62,IF(J15=4,0.45,0.55))))*M15/10*F14)^0.916</f>
        <v>1.9147963175264575</v>
      </c>
      <c r="P15" s="9">
        <f t="shared" si="2"/>
        <v>1.7233166857738118</v>
      </c>
      <c r="R15">
        <f t="shared" si="3"/>
        <v>0.9</v>
      </c>
      <c r="T15">
        <f t="shared" si="4"/>
        <v>0.17153730721898461</v>
      </c>
    </row>
    <row r="16" spans="1:20" x14ac:dyDescent="0.25">
      <c r="B16" s="4">
        <v>151</v>
      </c>
      <c r="C16" s="4"/>
      <c r="D16" s="57"/>
      <c r="E16" s="4">
        <v>45</v>
      </c>
      <c r="F16" s="4"/>
      <c r="G16" s="4" t="s">
        <v>12</v>
      </c>
      <c r="H16" s="4" t="s">
        <v>19</v>
      </c>
      <c r="I16" s="4"/>
      <c r="J16" s="4"/>
      <c r="K16" s="4"/>
      <c r="L16" s="4"/>
      <c r="M16">
        <f t="shared" si="1"/>
        <v>143.23944878270581</v>
      </c>
      <c r="O16" s="9">
        <f>0.251*(IF(J16=1,0.7,IF(J16=2,0.58,IF(J16=3,0.62,IF(J16=4,0.45,0.55))))*M16/10*F14)^0.916</f>
        <v>3.8486850443831226</v>
      </c>
      <c r="P16" s="9">
        <f t="shared" si="2"/>
        <v>3.4638165399448106</v>
      </c>
      <c r="R16">
        <f t="shared" si="3"/>
        <v>0.9</v>
      </c>
      <c r="T16">
        <f t="shared" si="4"/>
        <v>0.17153730721898461</v>
      </c>
    </row>
    <row r="17" spans="2:20" x14ac:dyDescent="0.25">
      <c r="B17" s="5">
        <v>152</v>
      </c>
      <c r="C17" s="5" t="str">
        <f t="shared" si="5"/>
        <v>තෙලකීරිය</v>
      </c>
      <c r="D17" s="58" t="str">
        <f t="shared" si="0"/>
        <v>Excoecaria agallocha</v>
      </c>
      <c r="E17" s="5">
        <v>20</v>
      </c>
      <c r="F17" s="5">
        <v>3</v>
      </c>
      <c r="G17" s="5" t="s">
        <v>12</v>
      </c>
      <c r="H17" s="5"/>
      <c r="I17" s="5"/>
      <c r="J17" s="5">
        <v>4</v>
      </c>
      <c r="K17" s="5"/>
      <c r="L17" s="5"/>
      <c r="M17">
        <f t="shared" si="1"/>
        <v>63.661977236758133</v>
      </c>
      <c r="O17" s="9">
        <f t="shared" si="6"/>
        <v>1.8005850753914006</v>
      </c>
      <c r="P17" s="9">
        <f t="shared" si="2"/>
        <v>1.6205265678522605</v>
      </c>
      <c r="R17">
        <f t="shared" si="3"/>
        <v>0.9</v>
      </c>
      <c r="T17">
        <f t="shared" si="4"/>
        <v>0.17153730721898461</v>
      </c>
    </row>
    <row r="18" spans="2:20" x14ac:dyDescent="0.25">
      <c r="B18" s="5">
        <v>153</v>
      </c>
      <c r="C18" s="5"/>
      <c r="D18" s="58"/>
      <c r="E18" s="5">
        <v>28</v>
      </c>
      <c r="F18" s="5"/>
      <c r="G18" s="5" t="s">
        <v>12</v>
      </c>
      <c r="H18" s="5"/>
      <c r="I18" s="5"/>
      <c r="J18" s="5"/>
      <c r="K18" s="5"/>
      <c r="L18" s="5"/>
      <c r="M18">
        <f t="shared" si="1"/>
        <v>89.12676813146139</v>
      </c>
      <c r="O18" s="9">
        <f>0.251*(IF(J18=1,0.7,IF(J18=2,0.58,IF(J18=3,0.62,IF(J18=4,0.45,0.55))))*M18/10*F17)^0.916</f>
        <v>2.945075872000348</v>
      </c>
      <c r="P18" s="9">
        <f t="shared" si="2"/>
        <v>2.6505682848003134</v>
      </c>
      <c r="R18">
        <f t="shared" si="3"/>
        <v>0.9</v>
      </c>
      <c r="T18">
        <f t="shared" si="4"/>
        <v>0.17153730721898461</v>
      </c>
    </row>
    <row r="19" spans="2:20" x14ac:dyDescent="0.25">
      <c r="B19" s="5">
        <v>154</v>
      </c>
      <c r="C19" s="5"/>
      <c r="D19" s="58"/>
      <c r="E19" s="5">
        <v>28</v>
      </c>
      <c r="F19" s="5"/>
      <c r="G19" s="5" t="s">
        <v>12</v>
      </c>
      <c r="H19" s="5"/>
      <c r="I19" s="5"/>
      <c r="J19" s="5"/>
      <c r="K19" s="5"/>
      <c r="L19" s="5"/>
      <c r="M19">
        <f t="shared" si="1"/>
        <v>89.12676813146139</v>
      </c>
      <c r="O19" s="9">
        <f>0.251*(IF(J19=1,0.7,IF(J19=2,0.58,IF(J19=3,0.62,IF(J19=4,0.45,0.55))))*M19/10*F17)^0.916</f>
        <v>2.945075872000348</v>
      </c>
      <c r="P19" s="9">
        <f t="shared" si="2"/>
        <v>2.6505682848003134</v>
      </c>
      <c r="R19">
        <f t="shared" si="3"/>
        <v>0.9</v>
      </c>
      <c r="T19">
        <f t="shared" si="4"/>
        <v>0.17153730721898461</v>
      </c>
    </row>
    <row r="20" spans="2:20" x14ac:dyDescent="0.25">
      <c r="B20" s="4">
        <v>155</v>
      </c>
      <c r="C20" s="4" t="str">
        <f t="shared" si="5"/>
        <v>බේරිය</v>
      </c>
      <c r="D20" s="57" t="str">
        <f t="shared" si="0"/>
        <v>Lumitzera racemosa</v>
      </c>
      <c r="E20" s="4">
        <v>33</v>
      </c>
      <c r="F20" s="4">
        <v>3</v>
      </c>
      <c r="G20" s="4" t="s">
        <v>12</v>
      </c>
      <c r="H20" s="4"/>
      <c r="I20" s="4"/>
      <c r="J20" s="4">
        <v>1</v>
      </c>
      <c r="K20" s="4"/>
      <c r="L20" s="4"/>
      <c r="M20">
        <f t="shared" si="1"/>
        <v>105.04226244065093</v>
      </c>
      <c r="O20" s="9">
        <f t="shared" si="6"/>
        <v>4.2696874113456262</v>
      </c>
      <c r="P20" s="9">
        <f t="shared" si="2"/>
        <v>3.8427186702110636</v>
      </c>
      <c r="R20">
        <f t="shared" si="3"/>
        <v>0.9</v>
      </c>
      <c r="T20">
        <f t="shared" si="4"/>
        <v>0.17153730721898461</v>
      </c>
    </row>
    <row r="21" spans="2:20" x14ac:dyDescent="0.25">
      <c r="B21" s="5">
        <v>156</v>
      </c>
      <c r="C21" s="5" t="str">
        <f t="shared" si="5"/>
        <v>බේරිය</v>
      </c>
      <c r="D21" s="58" t="str">
        <f t="shared" si="0"/>
        <v>Lumitzera racemosa</v>
      </c>
      <c r="E21" s="5">
        <v>16</v>
      </c>
      <c r="F21" s="5">
        <v>2.5</v>
      </c>
      <c r="G21" s="5" t="s">
        <v>14</v>
      </c>
      <c r="H21" s="5"/>
      <c r="I21" s="5"/>
      <c r="J21" s="5">
        <v>1</v>
      </c>
      <c r="K21" s="5"/>
      <c r="L21" s="5"/>
      <c r="M21">
        <f t="shared" si="1"/>
        <v>50.929581789406512</v>
      </c>
      <c r="O21" s="9">
        <f t="shared" si="6"/>
        <v>1.8615778154936455</v>
      </c>
      <c r="P21" s="9">
        <f t="shared" si="2"/>
        <v>1.3961833616202342</v>
      </c>
      <c r="R21">
        <f t="shared" si="3"/>
        <v>0.75</v>
      </c>
      <c r="T21">
        <f t="shared" si="4"/>
        <v>-2.4950881050031595</v>
      </c>
    </row>
    <row r="22" spans="2:20" x14ac:dyDescent="0.25">
      <c r="B22" s="4">
        <v>157</v>
      </c>
      <c r="C22" s="4" t="str">
        <f t="shared" si="5"/>
        <v>බේරිය</v>
      </c>
      <c r="D22" s="57" t="str">
        <f t="shared" si="0"/>
        <v>Lumitzera racemosa</v>
      </c>
      <c r="E22" s="4">
        <v>23</v>
      </c>
      <c r="F22" s="4">
        <v>2.5</v>
      </c>
      <c r="G22" s="4" t="s">
        <v>12</v>
      </c>
      <c r="H22" s="4"/>
      <c r="I22" s="4"/>
      <c r="J22" s="4">
        <v>1</v>
      </c>
      <c r="K22" s="4"/>
      <c r="L22" s="4"/>
      <c r="M22">
        <f t="shared" si="1"/>
        <v>73.211273822271863</v>
      </c>
      <c r="O22" s="9">
        <f t="shared" si="6"/>
        <v>2.59567305285761</v>
      </c>
      <c r="P22" s="9">
        <f t="shared" si="2"/>
        <v>2.3361057475718492</v>
      </c>
      <c r="R22">
        <f t="shared" si="3"/>
        <v>0.9</v>
      </c>
      <c r="T22">
        <f t="shared" si="4"/>
        <v>0.17153730721898461</v>
      </c>
    </row>
    <row r="23" spans="2:20" x14ac:dyDescent="0.25">
      <c r="B23" s="5">
        <v>159</v>
      </c>
      <c r="C23" s="5" t="str">
        <f t="shared" si="5"/>
        <v>බේරිය</v>
      </c>
      <c r="D23" s="58" t="str">
        <f t="shared" si="0"/>
        <v>Lumitzera racemosa</v>
      </c>
      <c r="E23" s="5">
        <v>15.5</v>
      </c>
      <c r="F23" s="5">
        <v>2.5</v>
      </c>
      <c r="G23" s="5" t="s">
        <v>12</v>
      </c>
      <c r="H23" s="5" t="s">
        <v>19</v>
      </c>
      <c r="I23" s="5"/>
      <c r="J23" s="5">
        <v>1</v>
      </c>
      <c r="K23" s="5"/>
      <c r="L23" s="5"/>
      <c r="M23">
        <f t="shared" si="1"/>
        <v>49.338032358487553</v>
      </c>
      <c r="O23" s="9">
        <f t="shared" si="6"/>
        <v>1.8082194076138374</v>
      </c>
      <c r="P23" s="9">
        <f t="shared" si="2"/>
        <v>1.6273974668524536</v>
      </c>
      <c r="R23">
        <f t="shared" si="3"/>
        <v>0.9</v>
      </c>
      <c r="T23">
        <f t="shared" si="4"/>
        <v>0.17153730721898461</v>
      </c>
    </row>
    <row r="24" spans="2:20" x14ac:dyDescent="0.25">
      <c r="B24" s="5">
        <v>160</v>
      </c>
      <c r="C24" s="5"/>
      <c r="D24" s="58"/>
      <c r="E24" s="5">
        <v>15.5</v>
      </c>
      <c r="F24" s="5">
        <v>1.5</v>
      </c>
      <c r="G24" s="5" t="s">
        <v>12</v>
      </c>
      <c r="H24" s="5"/>
      <c r="I24" s="5"/>
      <c r="J24" s="5"/>
      <c r="K24" s="5"/>
      <c r="L24" s="5"/>
      <c r="M24">
        <f t="shared" si="1"/>
        <v>49.338032358487553</v>
      </c>
      <c r="O24" s="9">
        <f t="shared" si="6"/>
        <v>0.90802977684355035</v>
      </c>
      <c r="P24" s="9">
        <f t="shared" si="2"/>
        <v>0.81722679915919538</v>
      </c>
      <c r="R24">
        <f t="shared" si="3"/>
        <v>0.9</v>
      </c>
      <c r="T24">
        <f t="shared" si="4"/>
        <v>0.17153730721898461</v>
      </c>
    </row>
    <row r="25" spans="2:20" x14ac:dyDescent="0.25">
      <c r="B25" s="4">
        <v>161</v>
      </c>
      <c r="C25" s="4" t="str">
        <f t="shared" si="5"/>
        <v>තෙලකීරිය</v>
      </c>
      <c r="D25" s="57" t="str">
        <f t="shared" si="0"/>
        <v>Excoecaria agallocha</v>
      </c>
      <c r="E25" s="4">
        <v>23</v>
      </c>
      <c r="F25" s="4">
        <v>3</v>
      </c>
      <c r="G25" s="4" t="s">
        <v>12</v>
      </c>
      <c r="H25" s="4"/>
      <c r="I25" s="4"/>
      <c r="J25" s="4">
        <v>4</v>
      </c>
      <c r="K25" s="4"/>
      <c r="L25" s="4"/>
      <c r="M25">
        <f t="shared" si="1"/>
        <v>73.211273822271863</v>
      </c>
      <c r="O25" s="9">
        <f t="shared" si="6"/>
        <v>2.0465052722755797</v>
      </c>
      <c r="P25" s="9">
        <f t="shared" si="2"/>
        <v>1.8418547450480218</v>
      </c>
      <c r="R25">
        <f t="shared" si="3"/>
        <v>0.9</v>
      </c>
      <c r="T25">
        <f t="shared" si="4"/>
        <v>0.17153730721898461</v>
      </c>
    </row>
    <row r="26" spans="2:20" x14ac:dyDescent="0.25">
      <c r="B26" s="5">
        <v>162</v>
      </c>
      <c r="C26" s="5" t="str">
        <f t="shared" si="5"/>
        <v>බේරිය</v>
      </c>
      <c r="D26" s="58" t="str">
        <f t="shared" si="0"/>
        <v>Lumitzera racemosa</v>
      </c>
      <c r="E26" s="5">
        <v>18.5</v>
      </c>
      <c r="F26" s="5">
        <v>2.5</v>
      </c>
      <c r="G26" s="5" t="s">
        <v>12</v>
      </c>
      <c r="H26" s="5"/>
      <c r="I26" s="5"/>
      <c r="J26" s="5">
        <v>1</v>
      </c>
      <c r="K26" s="5"/>
      <c r="L26" s="5"/>
      <c r="M26">
        <f t="shared" si="1"/>
        <v>58.887328944001275</v>
      </c>
      <c r="O26" s="9">
        <f t="shared" si="6"/>
        <v>2.1263590205688776</v>
      </c>
      <c r="P26" s="9">
        <f t="shared" si="2"/>
        <v>1.9137231185119898</v>
      </c>
      <c r="R26">
        <f t="shared" si="3"/>
        <v>0.9</v>
      </c>
      <c r="T26">
        <f t="shared" si="4"/>
        <v>0.17153730721898461</v>
      </c>
    </row>
    <row r="27" spans="2:20" x14ac:dyDescent="0.25">
      <c r="B27" s="5">
        <v>163</v>
      </c>
      <c r="C27" s="5"/>
      <c r="D27" s="58"/>
      <c r="E27" s="5">
        <v>16</v>
      </c>
      <c r="F27" s="5">
        <v>2.5</v>
      </c>
      <c r="G27" s="5" t="s">
        <v>12</v>
      </c>
      <c r="H27" s="5"/>
      <c r="I27" s="5"/>
      <c r="J27" s="5"/>
      <c r="K27" s="5"/>
      <c r="L27" s="5"/>
      <c r="M27">
        <f t="shared" si="1"/>
        <v>50.929581789406512</v>
      </c>
      <c r="O27" s="9">
        <f t="shared" si="6"/>
        <v>1.4926006064027013</v>
      </c>
      <c r="P27" s="9">
        <f t="shared" si="2"/>
        <v>1.3433405457624312</v>
      </c>
      <c r="R27">
        <f t="shared" si="3"/>
        <v>0.9</v>
      </c>
      <c r="T27">
        <f t="shared" si="4"/>
        <v>0.17153730721898461</v>
      </c>
    </row>
    <row r="28" spans="2:20" x14ac:dyDescent="0.25">
      <c r="B28" s="5">
        <v>164</v>
      </c>
      <c r="C28" s="5"/>
      <c r="D28" s="58"/>
      <c r="E28" s="5">
        <v>17</v>
      </c>
      <c r="F28" s="5">
        <v>2.5</v>
      </c>
      <c r="G28" s="5" t="s">
        <v>12</v>
      </c>
      <c r="H28" s="5"/>
      <c r="I28" s="5"/>
      <c r="J28" s="5"/>
      <c r="K28" s="5"/>
      <c r="L28" s="5"/>
      <c r="M28">
        <f t="shared" si="1"/>
        <v>54.112680651244418</v>
      </c>
      <c r="O28" s="9">
        <f t="shared" si="6"/>
        <v>1.577832588048619</v>
      </c>
      <c r="P28" s="9">
        <f t="shared" si="2"/>
        <v>1.4200493292437573</v>
      </c>
      <c r="R28">
        <f t="shared" si="3"/>
        <v>0.9</v>
      </c>
      <c r="T28">
        <f t="shared" si="4"/>
        <v>0.17153730721898461</v>
      </c>
    </row>
    <row r="29" spans="2:20" x14ac:dyDescent="0.25">
      <c r="B29" s="5">
        <v>165</v>
      </c>
      <c r="C29" s="5"/>
      <c r="D29" s="58"/>
      <c r="E29" s="5">
        <v>18</v>
      </c>
      <c r="F29" s="5">
        <v>2.5</v>
      </c>
      <c r="G29" s="5" t="s">
        <v>12</v>
      </c>
      <c r="H29" s="5"/>
      <c r="I29" s="5"/>
      <c r="J29" s="5"/>
      <c r="K29" s="5"/>
      <c r="L29" s="5"/>
      <c r="M29">
        <f t="shared" si="1"/>
        <v>57.295779513082323</v>
      </c>
      <c r="O29" s="9">
        <f t="shared" si="6"/>
        <v>1.662644210009959</v>
      </c>
      <c r="P29" s="9">
        <f t="shared" si="2"/>
        <v>1.4963797890089632</v>
      </c>
      <c r="R29">
        <f t="shared" si="3"/>
        <v>0.9</v>
      </c>
      <c r="T29">
        <f t="shared" si="4"/>
        <v>0.17153730721898461</v>
      </c>
    </row>
    <row r="30" spans="2:20" x14ac:dyDescent="0.25">
      <c r="B30" s="4">
        <v>166</v>
      </c>
      <c r="C30" s="4" t="str">
        <f t="shared" si="5"/>
        <v>බේරිය</v>
      </c>
      <c r="D30" s="57" t="str">
        <f t="shared" si="0"/>
        <v>Lumitzera racemosa</v>
      </c>
      <c r="E30" s="4">
        <v>20</v>
      </c>
      <c r="F30" s="4">
        <v>2.5</v>
      </c>
      <c r="G30" s="4" t="s">
        <v>12</v>
      </c>
      <c r="H30" s="4"/>
      <c r="I30" s="4"/>
      <c r="J30" s="4">
        <v>1</v>
      </c>
      <c r="K30" s="4"/>
      <c r="L30" s="4"/>
      <c r="M30">
        <f t="shared" si="1"/>
        <v>63.661977236758133</v>
      </c>
      <c r="O30" s="9">
        <f t="shared" si="6"/>
        <v>2.2837616022235627</v>
      </c>
      <c r="P30" s="9">
        <f t="shared" si="2"/>
        <v>2.0553854420012065</v>
      </c>
      <c r="R30">
        <f t="shared" si="3"/>
        <v>0.9</v>
      </c>
      <c r="T30">
        <f t="shared" si="4"/>
        <v>0.17153730721898461</v>
      </c>
    </row>
    <row r="31" spans="2:20" x14ac:dyDescent="0.25">
      <c r="B31" s="4">
        <v>167</v>
      </c>
      <c r="C31" s="4"/>
      <c r="D31" s="57"/>
      <c r="E31" s="4">
        <v>16.5</v>
      </c>
      <c r="F31" s="4">
        <v>2.5</v>
      </c>
      <c r="G31" s="4" t="s">
        <v>12</v>
      </c>
      <c r="H31" s="4"/>
      <c r="I31" s="4"/>
      <c r="J31" s="4"/>
      <c r="K31" s="4"/>
      <c r="L31" s="4"/>
      <c r="M31">
        <f t="shared" si="1"/>
        <v>52.521131220325465</v>
      </c>
      <c r="O31" s="9">
        <f t="shared" si="6"/>
        <v>1.5352708443830323</v>
      </c>
      <c r="P31" s="9">
        <f t="shared" si="2"/>
        <v>1.3817437599447291</v>
      </c>
      <c r="R31">
        <f t="shared" si="3"/>
        <v>0.9</v>
      </c>
      <c r="T31">
        <f t="shared" si="4"/>
        <v>0.17153730721898461</v>
      </c>
    </row>
    <row r="32" spans="2:20" x14ac:dyDescent="0.25">
      <c r="B32" s="5">
        <v>168</v>
      </c>
      <c r="C32" s="5" t="str">
        <f t="shared" si="5"/>
        <v>බේරිය</v>
      </c>
      <c r="D32" s="58" t="str">
        <f t="shared" si="0"/>
        <v>Lumitzera racemosa</v>
      </c>
      <c r="E32" s="5">
        <v>16</v>
      </c>
      <c r="F32" s="5">
        <v>2.5</v>
      </c>
      <c r="G32" s="5" t="s">
        <v>12</v>
      </c>
      <c r="H32" s="5"/>
      <c r="I32" s="5"/>
      <c r="J32" s="5">
        <v>1</v>
      </c>
      <c r="K32" s="5"/>
      <c r="L32" s="5"/>
      <c r="M32">
        <f t="shared" si="1"/>
        <v>50.929581789406512</v>
      </c>
      <c r="O32" s="9">
        <f t="shared" si="6"/>
        <v>1.8615778154936455</v>
      </c>
      <c r="P32" s="9">
        <f t="shared" si="2"/>
        <v>1.6754200339442811</v>
      </c>
      <c r="R32">
        <f t="shared" si="3"/>
        <v>0.9</v>
      </c>
      <c r="T32">
        <f t="shared" si="4"/>
        <v>0.17153730721898461</v>
      </c>
    </row>
    <row r="33" spans="2:20" x14ac:dyDescent="0.25">
      <c r="B33" s="4">
        <v>169</v>
      </c>
      <c r="C33" s="4" t="str">
        <f t="shared" si="5"/>
        <v>බේරිය</v>
      </c>
      <c r="D33" s="57" t="str">
        <f t="shared" si="0"/>
        <v>Lumitzera racemosa</v>
      </c>
      <c r="E33" s="4">
        <v>18.5</v>
      </c>
      <c r="F33" s="4">
        <v>2.5</v>
      </c>
      <c r="G33" s="4" t="s">
        <v>12</v>
      </c>
      <c r="H33" s="4"/>
      <c r="I33" s="4"/>
      <c r="J33" s="4">
        <v>1</v>
      </c>
      <c r="K33" s="4"/>
      <c r="L33" s="4"/>
      <c r="M33">
        <f t="shared" si="1"/>
        <v>58.887328944001275</v>
      </c>
      <c r="O33" s="9">
        <f t="shared" si="6"/>
        <v>2.1263590205688776</v>
      </c>
      <c r="P33" s="9">
        <f t="shared" si="2"/>
        <v>1.9137231185119898</v>
      </c>
      <c r="R33">
        <f t="shared" si="3"/>
        <v>0.9</v>
      </c>
      <c r="T33">
        <f t="shared" si="4"/>
        <v>0.17153730721898461</v>
      </c>
    </row>
    <row r="34" spans="2:20" x14ac:dyDescent="0.25">
      <c r="B34" s="5">
        <v>170</v>
      </c>
      <c r="C34" s="5" t="str">
        <f t="shared" si="5"/>
        <v>බේරිය</v>
      </c>
      <c r="D34" s="58" t="str">
        <f t="shared" si="0"/>
        <v>Lumitzera racemosa</v>
      </c>
      <c r="E34" s="5">
        <v>17</v>
      </c>
      <c r="F34" s="5">
        <v>2.5</v>
      </c>
      <c r="G34" s="5" t="s">
        <v>12</v>
      </c>
      <c r="H34" s="5"/>
      <c r="I34" s="5"/>
      <c r="J34" s="5">
        <v>1</v>
      </c>
      <c r="K34" s="5"/>
      <c r="L34" s="5"/>
      <c r="M34">
        <f t="shared" si="1"/>
        <v>54.112680651244418</v>
      </c>
      <c r="O34" s="9">
        <f t="shared" si="6"/>
        <v>1.9678795049891364</v>
      </c>
      <c r="P34" s="9">
        <f t="shared" si="2"/>
        <v>1.7710915544902228</v>
      </c>
      <c r="R34">
        <f t="shared" si="3"/>
        <v>0.9</v>
      </c>
      <c r="T34">
        <f t="shared" si="4"/>
        <v>0.17153730721898461</v>
      </c>
    </row>
    <row r="35" spans="2:20" x14ac:dyDescent="0.25">
      <c r="B35" s="4">
        <v>171</v>
      </c>
      <c r="C35" s="4" t="str">
        <f t="shared" si="5"/>
        <v>බේරිය</v>
      </c>
      <c r="D35" s="57" t="str">
        <f t="shared" si="0"/>
        <v>Lumitzera racemosa</v>
      </c>
      <c r="E35" s="4">
        <v>16</v>
      </c>
      <c r="F35" s="4">
        <v>2.5</v>
      </c>
      <c r="G35" s="4" t="s">
        <v>12</v>
      </c>
      <c r="H35" s="4"/>
      <c r="I35" s="4"/>
      <c r="J35" s="4">
        <v>1</v>
      </c>
      <c r="K35" s="4"/>
      <c r="L35" s="4"/>
      <c r="M35">
        <f t="shared" si="1"/>
        <v>50.929581789406512</v>
      </c>
      <c r="O35" s="9">
        <f t="shared" si="6"/>
        <v>1.8615778154936455</v>
      </c>
      <c r="P35" s="9">
        <f t="shared" si="2"/>
        <v>1.6754200339442811</v>
      </c>
      <c r="R35">
        <f t="shared" si="3"/>
        <v>0.9</v>
      </c>
      <c r="T35">
        <f t="shared" si="4"/>
        <v>0.17153730721898461</v>
      </c>
    </row>
    <row r="36" spans="2:20" x14ac:dyDescent="0.25">
      <c r="B36" s="5">
        <v>172</v>
      </c>
      <c r="C36" s="5" t="str">
        <f t="shared" si="5"/>
        <v>බේරිය</v>
      </c>
      <c r="D36" s="58" t="str">
        <f t="shared" si="0"/>
        <v>Lumitzera racemosa</v>
      </c>
      <c r="E36" s="5">
        <v>22</v>
      </c>
      <c r="F36" s="5">
        <v>3</v>
      </c>
      <c r="G36" s="5" t="s">
        <v>12</v>
      </c>
      <c r="H36" s="5"/>
      <c r="I36" s="5"/>
      <c r="J36" s="5">
        <v>1</v>
      </c>
      <c r="K36" s="5"/>
      <c r="L36" s="5"/>
      <c r="M36">
        <f t="shared" si="1"/>
        <v>70.028174960433944</v>
      </c>
      <c r="O36" s="9">
        <f t="shared" si="6"/>
        <v>2.9450758720003467</v>
      </c>
      <c r="P36" s="9">
        <f t="shared" si="2"/>
        <v>2.650568284800312</v>
      </c>
      <c r="R36">
        <f t="shared" si="3"/>
        <v>0.9</v>
      </c>
      <c r="T36">
        <f t="shared" si="4"/>
        <v>0.17153730721898461</v>
      </c>
    </row>
    <row r="37" spans="2:20" x14ac:dyDescent="0.25">
      <c r="B37" s="4">
        <v>173</v>
      </c>
      <c r="C37" s="4" t="str">
        <f t="shared" si="5"/>
        <v>බේරිය</v>
      </c>
      <c r="D37" s="57" t="str">
        <f t="shared" si="0"/>
        <v>Lumitzera racemosa</v>
      </c>
      <c r="E37" s="4">
        <v>20</v>
      </c>
      <c r="F37" s="4">
        <v>3</v>
      </c>
      <c r="G37" s="4" t="s">
        <v>12</v>
      </c>
      <c r="H37" s="4"/>
      <c r="I37" s="4"/>
      <c r="J37" s="4">
        <v>1</v>
      </c>
      <c r="K37" s="4"/>
      <c r="L37" s="4"/>
      <c r="M37">
        <f t="shared" si="1"/>
        <v>63.661977236758133</v>
      </c>
      <c r="O37" s="9">
        <f t="shared" si="6"/>
        <v>2.6988626811352225</v>
      </c>
      <c r="P37" s="9">
        <f t="shared" si="2"/>
        <v>2.4289764130217004</v>
      </c>
      <c r="R37">
        <f t="shared" si="3"/>
        <v>0.9</v>
      </c>
      <c r="T37">
        <f t="shared" si="4"/>
        <v>0.17153730721898461</v>
      </c>
    </row>
    <row r="38" spans="2:20" x14ac:dyDescent="0.25">
      <c r="B38" s="5">
        <v>174</v>
      </c>
      <c r="C38" s="5" t="str">
        <f t="shared" si="5"/>
        <v>බේරිය</v>
      </c>
      <c r="D38" s="58" t="str">
        <f t="shared" si="0"/>
        <v>Lumitzera racemosa</v>
      </c>
      <c r="E38" s="5">
        <v>23</v>
      </c>
      <c r="F38" s="5">
        <v>3</v>
      </c>
      <c r="G38" s="5" t="s">
        <v>12</v>
      </c>
      <c r="H38" s="5"/>
      <c r="I38" s="5"/>
      <c r="J38" s="5">
        <v>1</v>
      </c>
      <c r="K38" s="5"/>
      <c r="L38" s="5"/>
      <c r="M38">
        <f t="shared" si="1"/>
        <v>73.211273822271863</v>
      </c>
      <c r="O38" s="9">
        <f t="shared" si="6"/>
        <v>3.0674677812101865</v>
      </c>
      <c r="P38" s="9">
        <f t="shared" si="2"/>
        <v>2.7607210030891678</v>
      </c>
      <c r="R38">
        <f t="shared" si="3"/>
        <v>0.9</v>
      </c>
      <c r="T38">
        <f t="shared" si="4"/>
        <v>0.17153730721898461</v>
      </c>
    </row>
    <row r="39" spans="2:20" x14ac:dyDescent="0.25">
      <c r="B39" s="5">
        <v>175</v>
      </c>
      <c r="C39" s="5"/>
      <c r="D39" s="58"/>
      <c r="E39" s="5">
        <v>17</v>
      </c>
      <c r="F39" s="5"/>
      <c r="G39" s="5" t="s">
        <v>12</v>
      </c>
      <c r="H39" s="5"/>
      <c r="I39" s="5"/>
      <c r="J39" s="5"/>
      <c r="K39" s="5"/>
      <c r="L39" s="5"/>
      <c r="M39">
        <f t="shared" si="1"/>
        <v>54.112680651244418</v>
      </c>
      <c r="O39" s="9">
        <f>0.251*(IF(J39=1,0.7,IF(J39=2,0.58,IF(J39=3,0.62,IF(J39=4,0.45,0.55))))*M39/10*F38)^0.916</f>
        <v>1.8646225966919296</v>
      </c>
      <c r="P39" s="9">
        <f t="shared" si="2"/>
        <v>1.6781603370227367</v>
      </c>
      <c r="R39">
        <f t="shared" si="3"/>
        <v>0.9</v>
      </c>
      <c r="T39">
        <f t="shared" si="4"/>
        <v>0.17153730721898461</v>
      </c>
    </row>
    <row r="40" spans="2:20" x14ac:dyDescent="0.25">
      <c r="B40" s="5">
        <v>176</v>
      </c>
      <c r="C40" s="5"/>
      <c r="D40" s="58"/>
      <c r="E40" s="5">
        <v>19</v>
      </c>
      <c r="F40" s="5"/>
      <c r="G40" s="5" t="s">
        <v>12</v>
      </c>
      <c r="H40" s="5"/>
      <c r="I40" s="5"/>
      <c r="J40" s="5"/>
      <c r="K40" s="5"/>
      <c r="L40" s="5"/>
      <c r="M40">
        <f t="shared" si="1"/>
        <v>60.478878374920228</v>
      </c>
      <c r="O40" s="9">
        <f>0.251*(IF(J40=1,0.7,IF(J40=2,0.58,IF(J40=3,0.62,IF(J40=4,0.45,0.55))))*M40/10*F38)^0.916</f>
        <v>2.0646100139671741</v>
      </c>
      <c r="P40" s="9">
        <f t="shared" si="2"/>
        <v>1.8581490125704567</v>
      </c>
      <c r="R40">
        <f t="shared" si="3"/>
        <v>0.9</v>
      </c>
      <c r="T40">
        <f t="shared" si="4"/>
        <v>0.17153730721898461</v>
      </c>
    </row>
    <row r="41" spans="2:20" x14ac:dyDescent="0.25">
      <c r="B41" s="4">
        <v>177</v>
      </c>
      <c r="C41" s="4" t="str">
        <f t="shared" si="5"/>
        <v>බේරිය</v>
      </c>
      <c r="D41" s="57" t="str">
        <f t="shared" si="0"/>
        <v>Lumitzera racemosa</v>
      </c>
      <c r="E41" s="4">
        <v>16.5</v>
      </c>
      <c r="F41" s="4">
        <v>2.5</v>
      </c>
      <c r="G41" s="4" t="s">
        <v>12</v>
      </c>
      <c r="H41" s="4"/>
      <c r="I41" s="4"/>
      <c r="J41" s="4">
        <v>1</v>
      </c>
      <c r="K41" s="4"/>
      <c r="L41" s="4"/>
      <c r="M41">
        <f t="shared" si="1"/>
        <v>52.521131220325465</v>
      </c>
      <c r="O41" s="9">
        <f t="shared" si="6"/>
        <v>1.9147963175264575</v>
      </c>
      <c r="P41" s="9">
        <f t="shared" si="2"/>
        <v>1.7233166857738118</v>
      </c>
      <c r="R41">
        <f t="shared" si="3"/>
        <v>0.9</v>
      </c>
      <c r="T41">
        <f t="shared" si="4"/>
        <v>0.17153730721898461</v>
      </c>
    </row>
    <row r="42" spans="2:20" x14ac:dyDescent="0.25">
      <c r="B42" s="5">
        <v>178</v>
      </c>
      <c r="C42" s="5" t="str">
        <f t="shared" si="5"/>
        <v>තෙලකීරිය</v>
      </c>
      <c r="D42" s="58" t="str">
        <f t="shared" si="0"/>
        <v>Excoecaria agallocha</v>
      </c>
      <c r="E42" s="5">
        <v>19</v>
      </c>
      <c r="F42" s="5">
        <v>1.5</v>
      </c>
      <c r="G42" s="5" t="s">
        <v>12</v>
      </c>
      <c r="H42" s="5"/>
      <c r="I42" s="5"/>
      <c r="J42" s="5">
        <v>4</v>
      </c>
      <c r="K42" s="5"/>
      <c r="L42" s="5"/>
      <c r="M42">
        <f t="shared" si="1"/>
        <v>60.478878374920228</v>
      </c>
      <c r="O42" s="9">
        <f t="shared" si="6"/>
        <v>0.91046864176743725</v>
      </c>
      <c r="P42" s="9">
        <f t="shared" si="2"/>
        <v>0.81942177759069357</v>
      </c>
      <c r="R42">
        <f t="shared" si="3"/>
        <v>0.9</v>
      </c>
      <c r="T42">
        <f t="shared" si="4"/>
        <v>0.17153730721898461</v>
      </c>
    </row>
    <row r="43" spans="2:20" x14ac:dyDescent="0.25">
      <c r="B43" s="6">
        <v>179</v>
      </c>
      <c r="C43" s="6" t="str">
        <f t="shared" si="5"/>
        <v>බේරිය</v>
      </c>
      <c r="D43" s="59" t="str">
        <f t="shared" si="0"/>
        <v>Lumitzera racemosa</v>
      </c>
      <c r="E43" s="6">
        <v>22.5</v>
      </c>
      <c r="F43" s="6">
        <v>2</v>
      </c>
      <c r="G43" s="6" t="s">
        <v>12</v>
      </c>
      <c r="H43" s="6"/>
      <c r="I43" s="6"/>
      <c r="J43" s="6">
        <v>1</v>
      </c>
      <c r="K43" s="6"/>
      <c r="L43" s="6"/>
      <c r="M43">
        <f t="shared" si="1"/>
        <v>71.619724391352904</v>
      </c>
      <c r="O43" s="9">
        <f t="shared" si="6"/>
        <v>2.0736569201007233</v>
      </c>
      <c r="P43" s="9">
        <f t="shared" si="2"/>
        <v>1.866291228090651</v>
      </c>
      <c r="R43">
        <f t="shared" si="3"/>
        <v>0.9</v>
      </c>
      <c r="T43">
        <f t="shared" si="4"/>
        <v>0.17153730721898461</v>
      </c>
    </row>
    <row r="44" spans="2:20" x14ac:dyDescent="0.25">
      <c r="B44" s="6">
        <v>180</v>
      </c>
      <c r="C44" s="6"/>
      <c r="D44" s="59"/>
      <c r="E44" s="6">
        <v>20</v>
      </c>
      <c r="F44" s="6"/>
      <c r="G44" s="6" t="s">
        <v>12</v>
      </c>
      <c r="H44" s="6"/>
      <c r="I44" s="6"/>
      <c r="J44" s="6"/>
      <c r="K44" s="6"/>
      <c r="L44" s="6"/>
      <c r="M44">
        <f t="shared" si="1"/>
        <v>63.661977236758133</v>
      </c>
      <c r="O44" s="9">
        <f>0.251*(IF(J44=1,0.7,IF(J44=2,0.58,IF(J44=3,0.62,IF(J44=4,0.45,0.55))))*M44/10*F43)^0.916</f>
        <v>1.4926006064027013</v>
      </c>
      <c r="P44" s="9">
        <f t="shared" si="2"/>
        <v>1.3433405457624312</v>
      </c>
      <c r="R44">
        <f t="shared" si="3"/>
        <v>0.9</v>
      </c>
      <c r="T44">
        <f t="shared" si="4"/>
        <v>0.17153730721898461</v>
      </c>
    </row>
    <row r="45" spans="2:20" x14ac:dyDescent="0.25">
      <c r="B45" s="4">
        <v>181</v>
      </c>
      <c r="C45" s="4" t="str">
        <f t="shared" si="5"/>
        <v>තෙලකීරිය</v>
      </c>
      <c r="D45" s="57" t="str">
        <f t="shared" si="0"/>
        <v>Excoecaria agallocha</v>
      </c>
      <c r="E45" s="4">
        <v>24</v>
      </c>
      <c r="F45" s="4">
        <v>1.5</v>
      </c>
      <c r="G45" s="4" t="s">
        <v>16</v>
      </c>
      <c r="H45" s="4"/>
      <c r="I45" s="4"/>
      <c r="J45" s="4">
        <v>4</v>
      </c>
      <c r="K45" s="4"/>
      <c r="L45" s="4"/>
      <c r="M45">
        <f t="shared" si="1"/>
        <v>76.394372684109769</v>
      </c>
      <c r="O45" s="9">
        <f t="shared" si="6"/>
        <v>1.1277171663700252</v>
      </c>
      <c r="P45" s="9">
        <f t="shared" si="2"/>
        <v>0.56385858318501259</v>
      </c>
      <c r="R45">
        <f t="shared" si="3"/>
        <v>0.5</v>
      </c>
      <c r="T45">
        <f t="shared" si="4"/>
        <v>-6.9394637920400655</v>
      </c>
    </row>
    <row r="46" spans="2:20" x14ac:dyDescent="0.25">
      <c r="B46" s="5">
        <v>182</v>
      </c>
      <c r="C46" s="5" t="str">
        <f t="shared" si="5"/>
        <v>බේරිය</v>
      </c>
      <c r="D46" s="58" t="str">
        <f t="shared" si="0"/>
        <v>Lumitzera racemosa</v>
      </c>
      <c r="E46" s="5">
        <v>23</v>
      </c>
      <c r="F46" s="5">
        <v>2</v>
      </c>
      <c r="G46" s="5" t="s">
        <v>12</v>
      </c>
      <c r="H46" s="5"/>
      <c r="I46" s="5"/>
      <c r="J46" s="5">
        <v>1</v>
      </c>
      <c r="K46" s="5"/>
      <c r="L46" s="5"/>
      <c r="M46">
        <f t="shared" si="1"/>
        <v>73.211273822271863</v>
      </c>
      <c r="O46" s="9">
        <f t="shared" si="6"/>
        <v>2.1158282750571309</v>
      </c>
      <c r="P46" s="9">
        <f t="shared" si="2"/>
        <v>1.9042454475514179</v>
      </c>
      <c r="R46">
        <f t="shared" si="3"/>
        <v>0.9</v>
      </c>
      <c r="T46">
        <f t="shared" si="4"/>
        <v>0.17153730721898461</v>
      </c>
    </row>
    <row r="47" spans="2:20" x14ac:dyDescent="0.25">
      <c r="B47" s="4">
        <v>183</v>
      </c>
      <c r="C47" s="4" t="str">
        <f t="shared" si="5"/>
        <v>බේරිය</v>
      </c>
      <c r="D47" s="57" t="str">
        <f t="shared" si="0"/>
        <v>Lumitzera racemosa</v>
      </c>
      <c r="E47" s="4">
        <v>25</v>
      </c>
      <c r="F47" s="4">
        <v>3</v>
      </c>
      <c r="G47" s="4" t="s">
        <v>12</v>
      </c>
      <c r="H47" s="4"/>
      <c r="I47" s="4"/>
      <c r="J47" s="4">
        <v>1</v>
      </c>
      <c r="K47" s="4"/>
      <c r="L47" s="4"/>
      <c r="M47">
        <f t="shared" si="1"/>
        <v>79.577471545947674</v>
      </c>
      <c r="O47" s="9">
        <f t="shared" si="6"/>
        <v>3.3109327526103591</v>
      </c>
      <c r="P47" s="9">
        <f t="shared" si="2"/>
        <v>2.9798394773493233</v>
      </c>
      <c r="R47">
        <f t="shared" si="3"/>
        <v>0.9</v>
      </c>
      <c r="T47">
        <f t="shared" si="4"/>
        <v>0.17153730721898461</v>
      </c>
    </row>
    <row r="48" spans="2:20" x14ac:dyDescent="0.25">
      <c r="B48" s="5">
        <v>184</v>
      </c>
      <c r="C48" s="5" t="str">
        <f t="shared" si="5"/>
        <v>බේරිය</v>
      </c>
      <c r="D48" s="58" t="str">
        <f t="shared" si="0"/>
        <v>Lumitzera racemosa</v>
      </c>
      <c r="E48" s="5">
        <v>23</v>
      </c>
      <c r="F48" s="5">
        <v>3</v>
      </c>
      <c r="G48" s="5" t="s">
        <v>12</v>
      </c>
      <c r="H48" s="5"/>
      <c r="I48" s="5"/>
      <c r="J48" s="5">
        <v>1</v>
      </c>
      <c r="K48" s="5"/>
      <c r="L48" s="5"/>
      <c r="M48">
        <f t="shared" si="1"/>
        <v>73.211273822271863</v>
      </c>
      <c r="O48" s="9">
        <f t="shared" si="6"/>
        <v>3.0674677812101865</v>
      </c>
      <c r="P48" s="9">
        <f t="shared" si="2"/>
        <v>2.7607210030891678</v>
      </c>
      <c r="R48">
        <f t="shared" si="3"/>
        <v>0.9</v>
      </c>
      <c r="T48">
        <f t="shared" si="4"/>
        <v>0.17153730721898461</v>
      </c>
    </row>
    <row r="49" spans="2:20" x14ac:dyDescent="0.25">
      <c r="B49" s="4">
        <v>185</v>
      </c>
      <c r="C49" s="4" t="str">
        <f t="shared" si="5"/>
        <v>බේරිය</v>
      </c>
      <c r="D49" s="57" t="str">
        <f t="shared" si="0"/>
        <v>Lumitzera racemosa</v>
      </c>
      <c r="E49" s="4">
        <v>11.5</v>
      </c>
      <c r="F49" s="4">
        <v>2</v>
      </c>
      <c r="G49" s="4" t="s">
        <v>12</v>
      </c>
      <c r="H49" s="4"/>
      <c r="I49" s="4"/>
      <c r="J49" s="4">
        <v>1</v>
      </c>
      <c r="K49" s="4"/>
      <c r="L49" s="4"/>
      <c r="M49">
        <f t="shared" si="1"/>
        <v>36.605636911135932</v>
      </c>
      <c r="O49" s="9">
        <f t="shared" si="6"/>
        <v>1.1213390346687377</v>
      </c>
      <c r="P49" s="9">
        <f t="shared" si="2"/>
        <v>1.0092051312018639</v>
      </c>
      <c r="R49">
        <f t="shared" si="3"/>
        <v>0.9</v>
      </c>
      <c r="T49">
        <f t="shared" si="4"/>
        <v>0.17153730721898461</v>
      </c>
    </row>
    <row r="50" spans="2:20" x14ac:dyDescent="0.25">
      <c r="B50" s="5">
        <v>186</v>
      </c>
      <c r="C50" s="5" t="str">
        <f t="shared" si="5"/>
        <v>බේරිය</v>
      </c>
      <c r="D50" s="58" t="str">
        <f t="shared" si="0"/>
        <v>Lumitzera racemosa</v>
      </c>
      <c r="E50" s="5">
        <v>25</v>
      </c>
      <c r="F50" s="5">
        <v>2.5</v>
      </c>
      <c r="G50" s="5" t="s">
        <v>12</v>
      </c>
      <c r="H50" s="5"/>
      <c r="I50" s="5"/>
      <c r="J50" s="5">
        <v>1</v>
      </c>
      <c r="K50" s="5"/>
      <c r="L50" s="5"/>
      <c r="M50">
        <f t="shared" si="1"/>
        <v>79.577471545947674</v>
      </c>
      <c r="O50" s="9">
        <f t="shared" si="6"/>
        <v>2.8016916684235906</v>
      </c>
      <c r="P50" s="9">
        <f t="shared" si="2"/>
        <v>2.5215225015812317</v>
      </c>
      <c r="R50">
        <f t="shared" si="3"/>
        <v>0.9</v>
      </c>
      <c r="T50">
        <f t="shared" si="4"/>
        <v>0.17153730721898461</v>
      </c>
    </row>
    <row r="51" spans="2:20" x14ac:dyDescent="0.25">
      <c r="B51" s="4">
        <v>187</v>
      </c>
      <c r="C51" s="4" t="str">
        <f t="shared" si="5"/>
        <v>බේරිය</v>
      </c>
      <c r="D51" s="57" t="str">
        <f t="shared" si="0"/>
        <v>Lumitzera racemosa</v>
      </c>
      <c r="E51" s="4">
        <v>24</v>
      </c>
      <c r="F51" s="4">
        <v>2.5</v>
      </c>
      <c r="G51" s="4" t="s">
        <v>12</v>
      </c>
      <c r="H51" s="4"/>
      <c r="I51" s="4"/>
      <c r="J51" s="4">
        <v>1</v>
      </c>
      <c r="K51" s="4"/>
      <c r="L51" s="4"/>
      <c r="M51">
        <f t="shared" si="1"/>
        <v>76.394372684109769</v>
      </c>
      <c r="O51" s="9">
        <f t="shared" si="6"/>
        <v>2.6988626811352225</v>
      </c>
      <c r="P51" s="9">
        <f t="shared" si="2"/>
        <v>2.4289764130217004</v>
      </c>
      <c r="R51">
        <f t="shared" si="3"/>
        <v>0.9</v>
      </c>
      <c r="T51">
        <f t="shared" si="4"/>
        <v>0.17153730721898461</v>
      </c>
    </row>
    <row r="52" spans="2:20" x14ac:dyDescent="0.25">
      <c r="B52" s="4">
        <v>188</v>
      </c>
      <c r="C52" s="4"/>
      <c r="D52" s="57"/>
      <c r="E52" s="4">
        <v>18</v>
      </c>
      <c r="F52" s="4"/>
      <c r="G52" s="4" t="s">
        <v>12</v>
      </c>
      <c r="H52" s="4"/>
      <c r="I52" s="4"/>
      <c r="J52" s="4"/>
      <c r="K52" s="4"/>
      <c r="L52" s="4"/>
      <c r="M52">
        <f t="shared" si="1"/>
        <v>57.295779513082323</v>
      </c>
      <c r="O52" s="9">
        <f>0.251*(IF(J52=1,0.7,IF(J52=2,0.58,IF(J52=3,0.62,IF(J52=4,0.45,0.55))))*M52/10*F51)^0.916</f>
        <v>1.662644210009959</v>
      </c>
      <c r="P52" s="9">
        <f t="shared" si="2"/>
        <v>1.4963797890089632</v>
      </c>
      <c r="R52">
        <f t="shared" si="3"/>
        <v>0.9</v>
      </c>
      <c r="T52">
        <f t="shared" si="4"/>
        <v>0.17153730721898461</v>
      </c>
    </row>
    <row r="53" spans="2:20" x14ac:dyDescent="0.25">
      <c r="B53" s="5">
        <v>189</v>
      </c>
      <c r="C53" s="5" t="str">
        <f t="shared" si="5"/>
        <v>බේරිය</v>
      </c>
      <c r="D53" s="58" t="str">
        <f t="shared" si="0"/>
        <v>Lumitzera racemosa</v>
      </c>
      <c r="E53" s="5">
        <v>15.5</v>
      </c>
      <c r="F53" s="5">
        <v>2.5</v>
      </c>
      <c r="G53" s="5" t="s">
        <v>12</v>
      </c>
      <c r="H53" s="5"/>
      <c r="I53" s="5"/>
      <c r="J53" s="5">
        <v>1</v>
      </c>
      <c r="K53" s="5"/>
      <c r="L53" s="5"/>
      <c r="M53">
        <f t="shared" si="1"/>
        <v>49.338032358487553</v>
      </c>
      <c r="O53" s="9">
        <f t="shared" si="6"/>
        <v>1.8082194076138374</v>
      </c>
      <c r="P53" s="9">
        <f t="shared" si="2"/>
        <v>1.6273974668524536</v>
      </c>
      <c r="R53">
        <f t="shared" si="3"/>
        <v>0.9</v>
      </c>
      <c r="T53">
        <f t="shared" si="4"/>
        <v>0.17153730721898461</v>
      </c>
    </row>
    <row r="54" spans="2:20" x14ac:dyDescent="0.25">
      <c r="B54" s="4">
        <v>190</v>
      </c>
      <c r="C54" s="4" t="str">
        <f t="shared" si="5"/>
        <v>බේරිය</v>
      </c>
      <c r="D54" s="57" t="str">
        <f t="shared" si="0"/>
        <v>Lumitzera racemosa</v>
      </c>
      <c r="E54" s="4">
        <v>18.5</v>
      </c>
      <c r="F54" s="4">
        <v>2.5</v>
      </c>
      <c r="G54" s="4" t="s">
        <v>12</v>
      </c>
      <c r="H54" s="4"/>
      <c r="I54" s="4"/>
      <c r="J54" s="4">
        <v>1</v>
      </c>
      <c r="K54" s="4"/>
      <c r="L54" s="4"/>
      <c r="M54">
        <f t="shared" si="1"/>
        <v>58.887328944001275</v>
      </c>
      <c r="O54" s="9">
        <f t="shared" si="6"/>
        <v>2.1263590205688776</v>
      </c>
      <c r="P54" s="9">
        <f t="shared" si="2"/>
        <v>1.9137231185119898</v>
      </c>
      <c r="R54">
        <f t="shared" si="3"/>
        <v>0.9</v>
      </c>
      <c r="T54">
        <f t="shared" si="4"/>
        <v>0.17153730721898461</v>
      </c>
    </row>
    <row r="55" spans="2:20" x14ac:dyDescent="0.25">
      <c r="B55" s="5">
        <v>191</v>
      </c>
      <c r="C55" s="5" t="str">
        <f t="shared" si="5"/>
        <v>බේරිය</v>
      </c>
      <c r="D55" s="58" t="str">
        <f t="shared" si="0"/>
        <v>Lumitzera racemosa</v>
      </c>
      <c r="E55" s="5">
        <v>16</v>
      </c>
      <c r="F55" s="5">
        <v>2.5</v>
      </c>
      <c r="G55" s="5" t="s">
        <v>12</v>
      </c>
      <c r="H55" s="5"/>
      <c r="I55" s="5"/>
      <c r="J55" s="5">
        <v>1</v>
      </c>
      <c r="K55" s="5"/>
      <c r="L55" s="5"/>
      <c r="M55">
        <f t="shared" si="1"/>
        <v>50.929581789406512</v>
      </c>
      <c r="O55" s="9">
        <f t="shared" si="6"/>
        <v>1.8615778154936455</v>
      </c>
      <c r="P55" s="9">
        <f t="shared" si="2"/>
        <v>1.6754200339442811</v>
      </c>
      <c r="R55">
        <f t="shared" si="3"/>
        <v>0.9</v>
      </c>
      <c r="T55">
        <f t="shared" si="4"/>
        <v>0.17153730721898461</v>
      </c>
    </row>
    <row r="56" spans="2:20" x14ac:dyDescent="0.25">
      <c r="B56" s="5">
        <v>192</v>
      </c>
      <c r="C56" s="5"/>
      <c r="D56" s="58"/>
      <c r="E56" s="5">
        <v>18</v>
      </c>
      <c r="F56" s="5"/>
      <c r="G56" s="5" t="s">
        <v>12</v>
      </c>
      <c r="H56" s="5"/>
      <c r="I56" s="5"/>
      <c r="J56" s="5"/>
      <c r="K56" s="5"/>
      <c r="L56" s="5"/>
      <c r="M56">
        <f t="shared" si="1"/>
        <v>57.295779513082323</v>
      </c>
      <c r="O56" s="9">
        <f>0.251*(IF(J56=1,0.7,IF(J56=2,0.58,IF(J56=3,0.62,IF(J56=4,0.45,0.55))))*M56/10*F55)^0.916</f>
        <v>1.662644210009959</v>
      </c>
      <c r="P56" s="9">
        <f t="shared" si="2"/>
        <v>1.4963797890089632</v>
      </c>
      <c r="R56">
        <f t="shared" si="3"/>
        <v>0.9</v>
      </c>
      <c r="T56">
        <f t="shared" si="4"/>
        <v>0.17153730721898461</v>
      </c>
    </row>
    <row r="57" spans="2:20" x14ac:dyDescent="0.25">
      <c r="B57" s="4">
        <v>193</v>
      </c>
      <c r="C57" s="4" t="str">
        <f t="shared" si="5"/>
        <v>බේරිය</v>
      </c>
      <c r="D57" s="57" t="str">
        <f t="shared" si="0"/>
        <v>Lumitzera racemosa</v>
      </c>
      <c r="E57" s="4">
        <v>20</v>
      </c>
      <c r="F57" s="4">
        <v>2.5</v>
      </c>
      <c r="G57" s="4" t="s">
        <v>12</v>
      </c>
      <c r="H57" s="4"/>
      <c r="I57" s="4"/>
      <c r="J57" s="4">
        <v>1</v>
      </c>
      <c r="K57" s="4"/>
      <c r="L57" s="4"/>
      <c r="M57">
        <f t="shared" si="1"/>
        <v>63.661977236758133</v>
      </c>
      <c r="O57" s="9">
        <f t="shared" si="6"/>
        <v>2.2837616022235627</v>
      </c>
      <c r="P57" s="9">
        <f t="shared" si="2"/>
        <v>2.0553854420012065</v>
      </c>
      <c r="R57">
        <f t="shared" si="3"/>
        <v>0.9</v>
      </c>
      <c r="T57">
        <f t="shared" si="4"/>
        <v>0.17153730721898461</v>
      </c>
    </row>
    <row r="58" spans="2:20" x14ac:dyDescent="0.25">
      <c r="B58" s="5">
        <v>194</v>
      </c>
      <c r="C58" s="5" t="str">
        <f t="shared" si="5"/>
        <v>බේරිය</v>
      </c>
      <c r="D58" s="58" t="str">
        <f t="shared" si="0"/>
        <v>Lumitzera racemosa</v>
      </c>
      <c r="E58" s="5">
        <v>17</v>
      </c>
      <c r="F58" s="5">
        <v>2</v>
      </c>
      <c r="G58" s="5" t="s">
        <v>12</v>
      </c>
      <c r="H58" s="5"/>
      <c r="I58" s="5"/>
      <c r="J58" s="5">
        <v>1</v>
      </c>
      <c r="K58" s="5"/>
      <c r="L58" s="5"/>
      <c r="M58">
        <f t="shared" si="1"/>
        <v>54.112680651244418</v>
      </c>
      <c r="O58" s="9">
        <f t="shared" si="6"/>
        <v>1.6040907363034722</v>
      </c>
      <c r="P58" s="9">
        <f t="shared" si="2"/>
        <v>1.443681662673125</v>
      </c>
      <c r="R58">
        <f t="shared" si="3"/>
        <v>0.9</v>
      </c>
      <c r="T58">
        <f t="shared" si="4"/>
        <v>0.17153730721898461</v>
      </c>
    </row>
    <row r="59" spans="2:20" x14ac:dyDescent="0.25">
      <c r="B59" s="4">
        <v>195</v>
      </c>
      <c r="C59" s="4" t="str">
        <f t="shared" si="5"/>
        <v>බේරිය</v>
      </c>
      <c r="D59" s="57" t="str">
        <f t="shared" si="0"/>
        <v>Lumitzera racemosa</v>
      </c>
      <c r="E59" s="4">
        <v>17</v>
      </c>
      <c r="F59" s="4">
        <v>2</v>
      </c>
      <c r="G59" s="4" t="s">
        <v>12</v>
      </c>
      <c r="H59" s="4"/>
      <c r="I59" s="4"/>
      <c r="J59" s="4">
        <v>1</v>
      </c>
      <c r="K59" s="4"/>
      <c r="L59" s="4"/>
      <c r="M59">
        <f t="shared" si="1"/>
        <v>54.112680651244418</v>
      </c>
      <c r="O59" s="9">
        <f t="shared" si="6"/>
        <v>1.6040907363034722</v>
      </c>
      <c r="P59" s="9">
        <f t="shared" si="2"/>
        <v>1.443681662673125</v>
      </c>
      <c r="R59">
        <f t="shared" si="3"/>
        <v>0.9</v>
      </c>
      <c r="T59">
        <f t="shared" si="4"/>
        <v>0.17153730721898461</v>
      </c>
    </row>
    <row r="60" spans="2:20" x14ac:dyDescent="0.25">
      <c r="B60" s="5">
        <v>196</v>
      </c>
      <c r="C60" s="5" t="str">
        <f t="shared" si="5"/>
        <v>තෙලකීරිය</v>
      </c>
      <c r="D60" s="58" t="str">
        <f t="shared" si="0"/>
        <v>Excoecaria agallocha</v>
      </c>
      <c r="E60" s="5">
        <v>19</v>
      </c>
      <c r="F60" s="5">
        <v>2.5</v>
      </c>
      <c r="G60" s="5" t="s">
        <v>12</v>
      </c>
      <c r="H60" s="5"/>
      <c r="I60" s="5"/>
      <c r="J60" s="5">
        <v>4</v>
      </c>
      <c r="K60" s="5"/>
      <c r="L60" s="5"/>
      <c r="M60">
        <f t="shared" si="1"/>
        <v>60.478878374920228</v>
      </c>
      <c r="O60" s="9">
        <f t="shared" si="6"/>
        <v>1.4537122399717171</v>
      </c>
      <c r="P60" s="9">
        <f t="shared" si="2"/>
        <v>1.3083410159745454</v>
      </c>
      <c r="R60">
        <f t="shared" si="3"/>
        <v>0.9</v>
      </c>
      <c r="T60">
        <f t="shared" si="4"/>
        <v>0.17153730721898461</v>
      </c>
    </row>
    <row r="61" spans="2:20" x14ac:dyDescent="0.25">
      <c r="D61" s="8"/>
      <c r="E61" s="8"/>
    </row>
    <row r="62" spans="2:20" ht="30" x14ac:dyDescent="0.25">
      <c r="D62" s="8"/>
      <c r="E62" s="8"/>
      <c r="O62" s="22" t="s">
        <v>106</v>
      </c>
      <c r="P62" s="25">
        <f>SUM(P4:P60)</f>
        <v>124.92140776396191</v>
      </c>
      <c r="Q62" s="66" t="s">
        <v>169</v>
      </c>
      <c r="R62">
        <f>AVERAGE(R4:R60)</f>
        <v>0.89035087719298156</v>
      </c>
    </row>
    <row r="63" spans="2:20" x14ac:dyDescent="0.25">
      <c r="Q63" t="s">
        <v>170</v>
      </c>
      <c r="R63">
        <f>STDEV(R4:R60)</f>
        <v>5.6250870224401894E-2</v>
      </c>
    </row>
    <row r="65" spans="4:19" x14ac:dyDescent="0.25">
      <c r="O65" s="21" t="s">
        <v>97</v>
      </c>
      <c r="P65" s="21"/>
      <c r="Q65" s="21"/>
      <c r="R65" s="21"/>
      <c r="S65" s="21"/>
    </row>
    <row r="66" spans="4:19" x14ac:dyDescent="0.25">
      <c r="O66" s="21" t="s">
        <v>107</v>
      </c>
      <c r="P66" s="21">
        <f>1.24*P62</f>
        <v>154.90254562731278</v>
      </c>
      <c r="Q66" s="21"/>
      <c r="R66" s="21"/>
      <c r="S66" s="21"/>
    </row>
    <row r="67" spans="4:19" x14ac:dyDescent="0.25">
      <c r="D67" t="s">
        <v>34</v>
      </c>
      <c r="O67" s="21"/>
      <c r="P67" s="21"/>
      <c r="Q67" s="21"/>
      <c r="R67" s="21"/>
      <c r="S67" s="21"/>
    </row>
    <row r="68" spans="4:19" x14ac:dyDescent="0.25">
      <c r="D68" t="s">
        <v>33</v>
      </c>
      <c r="O68" s="21"/>
      <c r="P68" s="21"/>
      <c r="Q68" s="21"/>
      <c r="R68" s="21"/>
      <c r="S68" s="21"/>
    </row>
    <row r="69" spans="4:19" x14ac:dyDescent="0.25">
      <c r="O69" s="21" t="s">
        <v>109</v>
      </c>
      <c r="P69" s="21"/>
      <c r="Q69" s="21"/>
      <c r="R69" s="21"/>
      <c r="S69" s="21"/>
    </row>
    <row r="70" spans="4:19" ht="30" x14ac:dyDescent="0.25">
      <c r="O70" s="26" t="s">
        <v>108</v>
      </c>
      <c r="P70" s="21">
        <f>1.2*P66</f>
        <v>185.88305475277534</v>
      </c>
      <c r="Q70" s="21"/>
      <c r="R70" s="21"/>
      <c r="S70" s="21"/>
    </row>
    <row r="71" spans="4:19" x14ac:dyDescent="0.25">
      <c r="O71" s="21"/>
      <c r="P71" s="21"/>
      <c r="Q71" s="21"/>
      <c r="R71" s="21"/>
      <c r="S71" s="21"/>
    </row>
    <row r="72" spans="4:19" x14ac:dyDescent="0.25">
      <c r="O72" s="21"/>
      <c r="P72" s="21"/>
      <c r="Q72" s="21"/>
      <c r="R72" s="21"/>
      <c r="S72" s="21"/>
    </row>
    <row r="73" spans="4:19" ht="30" x14ac:dyDescent="0.25">
      <c r="O73" s="49" t="s">
        <v>135</v>
      </c>
      <c r="P73" s="44" t="s">
        <v>136</v>
      </c>
    </row>
    <row r="74" spans="4:19" ht="30" x14ac:dyDescent="0.25">
      <c r="O74" s="46" t="s">
        <v>138</v>
      </c>
      <c r="P74" s="45">
        <f>1.83*P66</f>
        <v>283.47165849798239</v>
      </c>
    </row>
  </sheetData>
  <mergeCells count="2">
    <mergeCell ref="A1:L1"/>
    <mergeCell ref="A2:L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0"/>
  <sheetViews>
    <sheetView topLeftCell="A19" zoomScale="55" zoomScaleNormal="55" workbookViewId="0">
      <selection activeCell="P50" sqref="P50"/>
    </sheetView>
  </sheetViews>
  <sheetFormatPr defaultRowHeight="15" x14ac:dyDescent="0.25"/>
  <cols>
    <col min="3" max="3" width="18.7109375" customWidth="1"/>
    <col min="4" max="4" width="20.5703125" customWidth="1"/>
    <col min="5" max="5" width="11.28515625" customWidth="1"/>
    <col min="6" max="6" width="14.42578125" customWidth="1"/>
    <col min="7" max="7" width="19.7109375" customWidth="1"/>
    <col min="8" max="8" width="17.7109375" customWidth="1"/>
    <col min="11" max="11" width="14.85546875" customWidth="1"/>
    <col min="12" max="12" width="12.42578125" customWidth="1"/>
    <col min="13" max="14" width="16.5703125" customWidth="1"/>
    <col min="15" max="15" width="18.28515625" customWidth="1"/>
    <col min="16" max="16" width="17.28515625" customWidth="1"/>
    <col min="17" max="17" width="14.7109375" customWidth="1"/>
    <col min="18" max="18" width="13.4257812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60" x14ac:dyDescent="0.25">
      <c r="A3" s="2" t="s">
        <v>0</v>
      </c>
      <c r="B3" s="2" t="s">
        <v>1</v>
      </c>
      <c r="C3" s="2" t="s">
        <v>2</v>
      </c>
      <c r="D3" s="2" t="s">
        <v>3</v>
      </c>
      <c r="E3" s="2" t="s">
        <v>4</v>
      </c>
      <c r="F3" s="2" t="s">
        <v>10</v>
      </c>
      <c r="G3" s="2" t="s">
        <v>11</v>
      </c>
      <c r="H3" s="1" t="s">
        <v>5</v>
      </c>
      <c r="I3" s="2" t="s">
        <v>6</v>
      </c>
      <c r="J3" s="2" t="s">
        <v>7</v>
      </c>
      <c r="K3" s="2" t="s">
        <v>8</v>
      </c>
      <c r="L3" s="2" t="s">
        <v>9</v>
      </c>
      <c r="M3" s="2" t="s">
        <v>18</v>
      </c>
      <c r="N3" s="2"/>
      <c r="O3" s="9" t="s">
        <v>79</v>
      </c>
      <c r="P3" s="18" t="s">
        <v>80</v>
      </c>
      <c r="R3" s="66" t="s">
        <v>168</v>
      </c>
      <c r="T3" s="66" t="s">
        <v>171</v>
      </c>
    </row>
    <row r="4" spans="1:20" x14ac:dyDescent="0.25">
      <c r="A4">
        <v>6</v>
      </c>
      <c r="B4">
        <v>197</v>
      </c>
      <c r="C4" t="str">
        <f>IF(J4=1,"බේරිය",IF(J4=2,"මණ්ඩ",IF(J4=3,"කඩොල්",IF(J4=4,"තෙලකීරිය","හීන් කඩොල්/ ඇවරි කඩොල්"))))</f>
        <v>තෙලකීරිය</v>
      </c>
      <c r="D4" s="35" t="str">
        <f t="shared" ref="D4:D36" si="0">IF(J4=1,"Lumitzera racemosa",IF(J4=2,"Avicenia marina",IF(J4=3,"Rhizophora spp.",IF(J4=4,"Excoecaria agallocha","Aegiceras corniculatum"))))</f>
        <v>Excoecaria agallocha</v>
      </c>
      <c r="E4">
        <v>37.67</v>
      </c>
      <c r="F4">
        <f t="shared" ref="F4:F36" si="1">M4*0.0254</f>
        <v>1.2445999999999999</v>
      </c>
      <c r="G4" t="s">
        <v>12</v>
      </c>
      <c r="J4">
        <v>4</v>
      </c>
      <c r="L4">
        <v>11</v>
      </c>
      <c r="M4">
        <v>49</v>
      </c>
      <c r="O4" s="9">
        <f t="shared" ref="O4:O36" si="2">0.251*(IF(J4=1,0.7,IF(J4=2,0.58,IF(J4=3,0.62,IF(J4=4,0.45,0.55))))*E4/10*F4)^0.916</f>
        <v>0.4973655103126145</v>
      </c>
      <c r="P4" s="9">
        <f t="shared" ref="P4:P36" si="3">O4*IF(G4="A",1,IF(G4="B",0.9,IF(G4="C",0.75,0.5)))</f>
        <v>0.44762895928135304</v>
      </c>
      <c r="R4">
        <f>IF(G4="A",1,IF(G4="B",0.9,IF(G4="C",0.75,0.5)))</f>
        <v>0.9</v>
      </c>
      <c r="T4">
        <f>STANDARDIZE(R4,$R$38,$R$39)</f>
        <v>0.98473192783466179</v>
      </c>
    </row>
    <row r="5" spans="1:20" x14ac:dyDescent="0.25">
      <c r="B5">
        <v>198</v>
      </c>
      <c r="C5" t="str">
        <f t="shared" ref="C5:C36" si="4">IF(J5=1,"බේරිය",IF(J5=2,"මණ්ඩ",IF(J5=3,"කඩොල්",IF(J5=4,"තෙලකීරිය","හීන් කඩොල්/ ඇවරි කඩොල්"))))</f>
        <v>තෙලකීරිය</v>
      </c>
      <c r="D5" s="35" t="str">
        <f t="shared" si="0"/>
        <v>Excoecaria agallocha</v>
      </c>
      <c r="E5">
        <v>69.87</v>
      </c>
      <c r="F5">
        <f t="shared" si="1"/>
        <v>2.0065999999999997</v>
      </c>
      <c r="G5" t="s">
        <v>12</v>
      </c>
      <c r="J5">
        <v>4</v>
      </c>
      <c r="L5">
        <v>16</v>
      </c>
      <c r="M5">
        <v>79</v>
      </c>
      <c r="O5" s="9">
        <f t="shared" si="2"/>
        <v>1.3565656156306933</v>
      </c>
      <c r="P5" s="9">
        <f t="shared" si="3"/>
        <v>1.220909054067624</v>
      </c>
      <c r="R5">
        <f t="shared" ref="R5:R36" si="5">IF(G5="A",1,IF(G5="B",0.9,IF(G5="C",0.75,0.5)))</f>
        <v>0.9</v>
      </c>
      <c r="T5">
        <f t="shared" ref="T5:T36" si="6">STANDARDIZE(R5,$R$38,$R$39)</f>
        <v>0.98473192783466179</v>
      </c>
    </row>
    <row r="6" spans="1:20" x14ac:dyDescent="0.25">
      <c r="B6">
        <v>199</v>
      </c>
      <c r="C6" t="str">
        <f t="shared" si="4"/>
        <v>තෙලකීරිය</v>
      </c>
      <c r="D6" s="35" t="str">
        <f t="shared" si="0"/>
        <v>Excoecaria agallocha</v>
      </c>
      <c r="E6">
        <v>52.26</v>
      </c>
      <c r="F6">
        <f t="shared" si="1"/>
        <v>1.2445999999999999</v>
      </c>
      <c r="G6" t="s">
        <v>12</v>
      </c>
      <c r="J6">
        <v>4</v>
      </c>
      <c r="L6">
        <v>7</v>
      </c>
      <c r="M6">
        <v>49</v>
      </c>
      <c r="O6" s="9">
        <f t="shared" si="2"/>
        <v>0.67128486130973708</v>
      </c>
      <c r="P6" s="9">
        <f t="shared" si="3"/>
        <v>0.60415637517876342</v>
      </c>
      <c r="R6">
        <f t="shared" si="5"/>
        <v>0.9</v>
      </c>
      <c r="T6">
        <f t="shared" si="6"/>
        <v>0.98473192783466179</v>
      </c>
    </row>
    <row r="7" spans="1:20" x14ac:dyDescent="0.25">
      <c r="B7">
        <v>201</v>
      </c>
      <c r="C7" t="str">
        <f t="shared" si="4"/>
        <v>බේරිය</v>
      </c>
      <c r="D7" s="35" t="str">
        <f t="shared" si="0"/>
        <v>Lumitzera racemosa</v>
      </c>
      <c r="E7">
        <v>38.32</v>
      </c>
      <c r="F7">
        <f t="shared" si="1"/>
        <v>1.27</v>
      </c>
      <c r="G7" t="s">
        <v>12</v>
      </c>
      <c r="J7">
        <v>1</v>
      </c>
      <c r="L7">
        <v>14</v>
      </c>
      <c r="M7">
        <v>50</v>
      </c>
      <c r="O7" s="9">
        <f t="shared" si="2"/>
        <v>0.77141040579353359</v>
      </c>
      <c r="P7" s="9">
        <f t="shared" si="3"/>
        <v>0.69426936521418026</v>
      </c>
      <c r="R7">
        <f t="shared" si="5"/>
        <v>0.9</v>
      </c>
      <c r="T7">
        <f t="shared" si="6"/>
        <v>0.98473192783466179</v>
      </c>
    </row>
    <row r="8" spans="1:20" x14ac:dyDescent="0.25">
      <c r="B8">
        <v>200</v>
      </c>
      <c r="C8" t="str">
        <f t="shared" si="4"/>
        <v>බේරිය</v>
      </c>
      <c r="D8" s="35" t="str">
        <f t="shared" si="0"/>
        <v>Lumitzera racemosa</v>
      </c>
      <c r="E8">
        <v>32.53</v>
      </c>
      <c r="F8">
        <f t="shared" si="1"/>
        <v>1.3715999999999999</v>
      </c>
      <c r="G8" t="s">
        <v>12</v>
      </c>
      <c r="J8">
        <v>1</v>
      </c>
      <c r="L8">
        <v>9</v>
      </c>
      <c r="M8">
        <v>54</v>
      </c>
      <c r="O8" s="9">
        <f t="shared" si="2"/>
        <v>0.71241998928550787</v>
      </c>
      <c r="P8" s="9">
        <f t="shared" si="3"/>
        <v>0.64117799035695711</v>
      </c>
      <c r="R8">
        <f t="shared" si="5"/>
        <v>0.9</v>
      </c>
      <c r="T8">
        <f t="shared" si="6"/>
        <v>0.98473192783466179</v>
      </c>
    </row>
    <row r="9" spans="1:20" x14ac:dyDescent="0.25">
      <c r="B9">
        <v>202</v>
      </c>
      <c r="C9" t="str">
        <f t="shared" si="4"/>
        <v>බේරිය</v>
      </c>
      <c r="D9" s="35" t="str">
        <f t="shared" si="0"/>
        <v>Lumitzera racemosa</v>
      </c>
      <c r="E9">
        <v>27.88</v>
      </c>
      <c r="F9">
        <f t="shared" si="1"/>
        <v>1.524</v>
      </c>
      <c r="G9" t="s">
        <v>12</v>
      </c>
      <c r="J9">
        <v>1</v>
      </c>
      <c r="L9">
        <v>7</v>
      </c>
      <c r="M9">
        <v>60</v>
      </c>
      <c r="O9" s="9">
        <f t="shared" si="2"/>
        <v>0.6812177141853879</v>
      </c>
      <c r="P9" s="9">
        <f t="shared" si="3"/>
        <v>0.61309594276684909</v>
      </c>
      <c r="R9">
        <f t="shared" si="5"/>
        <v>0.9</v>
      </c>
      <c r="T9">
        <f t="shared" si="6"/>
        <v>0.98473192783466179</v>
      </c>
    </row>
    <row r="10" spans="1:20" x14ac:dyDescent="0.25">
      <c r="B10">
        <v>203</v>
      </c>
      <c r="C10" t="str">
        <f t="shared" si="4"/>
        <v>බේරිය</v>
      </c>
      <c r="D10" s="35" t="str">
        <f t="shared" si="0"/>
        <v>Lumitzera racemosa</v>
      </c>
      <c r="E10">
        <v>23.69</v>
      </c>
      <c r="F10">
        <f t="shared" si="1"/>
        <v>1.397</v>
      </c>
      <c r="G10" t="s">
        <v>12</v>
      </c>
      <c r="J10">
        <v>1</v>
      </c>
      <c r="L10">
        <v>9</v>
      </c>
      <c r="M10">
        <v>55</v>
      </c>
      <c r="O10" s="9">
        <f t="shared" si="2"/>
        <v>0.54185742616390176</v>
      </c>
      <c r="P10" s="9">
        <f t="shared" si="3"/>
        <v>0.48767168354751161</v>
      </c>
      <c r="R10">
        <f t="shared" si="5"/>
        <v>0.9</v>
      </c>
      <c r="T10">
        <f t="shared" si="6"/>
        <v>0.98473192783466179</v>
      </c>
    </row>
    <row r="11" spans="1:20" x14ac:dyDescent="0.25">
      <c r="B11">
        <v>204</v>
      </c>
      <c r="C11" t="str">
        <f t="shared" si="4"/>
        <v>තෙලකීරිය</v>
      </c>
      <c r="D11" s="35" t="str">
        <f t="shared" si="0"/>
        <v>Excoecaria agallocha</v>
      </c>
      <c r="E11">
        <v>23.86</v>
      </c>
      <c r="F11">
        <f t="shared" si="1"/>
        <v>0.76200000000000001</v>
      </c>
      <c r="G11" t="s">
        <v>12</v>
      </c>
      <c r="J11">
        <v>4</v>
      </c>
      <c r="L11">
        <v>2</v>
      </c>
      <c r="M11">
        <v>30</v>
      </c>
      <c r="O11" s="9">
        <f t="shared" si="2"/>
        <v>0.20884941363385862</v>
      </c>
      <c r="P11" s="9">
        <f t="shared" si="3"/>
        <v>0.18796447227047275</v>
      </c>
      <c r="R11">
        <f t="shared" si="5"/>
        <v>0.9</v>
      </c>
      <c r="T11">
        <f t="shared" si="6"/>
        <v>0.98473192783466179</v>
      </c>
    </row>
    <row r="12" spans="1:20" x14ac:dyDescent="0.25">
      <c r="B12">
        <v>205</v>
      </c>
      <c r="C12" t="str">
        <f t="shared" si="4"/>
        <v>තෙලකීරිය</v>
      </c>
      <c r="D12" s="35" t="str">
        <f t="shared" si="0"/>
        <v>Excoecaria agallocha</v>
      </c>
      <c r="E12">
        <v>42.53</v>
      </c>
      <c r="F12">
        <f t="shared" si="1"/>
        <v>1.2953999999999999</v>
      </c>
      <c r="G12" t="s">
        <v>12</v>
      </c>
      <c r="J12">
        <v>4</v>
      </c>
      <c r="L12">
        <v>13</v>
      </c>
      <c r="M12">
        <v>51</v>
      </c>
      <c r="O12" s="9">
        <f t="shared" si="2"/>
        <v>0.5765849740753064</v>
      </c>
      <c r="P12" s="9">
        <f t="shared" si="3"/>
        <v>0.5189264766677758</v>
      </c>
      <c r="R12">
        <f t="shared" si="5"/>
        <v>0.9</v>
      </c>
      <c r="T12">
        <f t="shared" si="6"/>
        <v>0.98473192783466179</v>
      </c>
    </row>
    <row r="13" spans="1:20" x14ac:dyDescent="0.25">
      <c r="B13">
        <v>206</v>
      </c>
      <c r="C13" t="str">
        <f t="shared" si="4"/>
        <v>තෙලකීරිය</v>
      </c>
      <c r="D13" s="35" t="str">
        <f t="shared" si="0"/>
        <v>Excoecaria agallocha</v>
      </c>
      <c r="E13">
        <v>12.61</v>
      </c>
      <c r="F13">
        <f t="shared" si="1"/>
        <v>0.99059999999999993</v>
      </c>
      <c r="G13" t="s">
        <v>12</v>
      </c>
      <c r="J13">
        <v>4</v>
      </c>
      <c r="L13">
        <v>6</v>
      </c>
      <c r="M13">
        <v>39</v>
      </c>
      <c r="O13" s="9">
        <f t="shared" si="2"/>
        <v>0.14808609051361582</v>
      </c>
      <c r="P13" s="9">
        <f t="shared" si="3"/>
        <v>0.13327748146225424</v>
      </c>
      <c r="R13">
        <f t="shared" si="5"/>
        <v>0.9</v>
      </c>
      <c r="T13">
        <f t="shared" si="6"/>
        <v>0.98473192783466179</v>
      </c>
    </row>
    <row r="14" spans="1:20" x14ac:dyDescent="0.25">
      <c r="B14">
        <v>207</v>
      </c>
      <c r="C14" t="str">
        <f t="shared" si="4"/>
        <v>තෙලකීරිය</v>
      </c>
      <c r="D14" s="35" t="str">
        <f t="shared" si="0"/>
        <v>Excoecaria agallocha</v>
      </c>
      <c r="E14">
        <v>37.630000000000003</v>
      </c>
      <c r="F14">
        <f t="shared" si="1"/>
        <v>1.397</v>
      </c>
      <c r="G14" t="s">
        <v>12</v>
      </c>
      <c r="J14">
        <v>4</v>
      </c>
      <c r="L14">
        <v>8</v>
      </c>
      <c r="M14">
        <v>55</v>
      </c>
      <c r="O14" s="9">
        <f t="shared" si="2"/>
        <v>0.55233890684971521</v>
      </c>
      <c r="P14" s="9">
        <f t="shared" si="3"/>
        <v>0.49710501616474367</v>
      </c>
      <c r="R14">
        <f t="shared" si="5"/>
        <v>0.9</v>
      </c>
      <c r="T14">
        <f t="shared" si="6"/>
        <v>0.98473192783466179</v>
      </c>
    </row>
    <row r="15" spans="1:20" x14ac:dyDescent="0.25">
      <c r="B15">
        <v>208</v>
      </c>
      <c r="C15" t="str">
        <f t="shared" si="4"/>
        <v>තෙලකීරිය</v>
      </c>
      <c r="D15" s="35" t="str">
        <f t="shared" si="0"/>
        <v>Excoecaria agallocha</v>
      </c>
      <c r="E15">
        <v>12.19</v>
      </c>
      <c r="F15">
        <f t="shared" si="1"/>
        <v>0.71119999999999994</v>
      </c>
      <c r="G15" t="s">
        <v>12</v>
      </c>
      <c r="J15">
        <v>4</v>
      </c>
      <c r="L15">
        <v>5</v>
      </c>
      <c r="M15">
        <v>28</v>
      </c>
      <c r="O15" s="9">
        <f t="shared" si="2"/>
        <v>0.10597909817425263</v>
      </c>
      <c r="P15" s="9">
        <f t="shared" si="3"/>
        <v>9.5381188356827379E-2</v>
      </c>
      <c r="R15">
        <f t="shared" si="5"/>
        <v>0.9</v>
      </c>
      <c r="T15">
        <f t="shared" si="6"/>
        <v>0.98473192783466179</v>
      </c>
    </row>
    <row r="16" spans="1:20" x14ac:dyDescent="0.25">
      <c r="B16">
        <v>209</v>
      </c>
      <c r="C16" t="str">
        <f t="shared" si="4"/>
        <v>තෙලකීරිය</v>
      </c>
      <c r="D16" s="35" t="str">
        <f t="shared" si="0"/>
        <v>Excoecaria agallocha</v>
      </c>
      <c r="E16">
        <v>41.31</v>
      </c>
      <c r="F16">
        <f t="shared" si="1"/>
        <v>1.143</v>
      </c>
      <c r="G16" t="s">
        <v>12</v>
      </c>
      <c r="J16">
        <v>4</v>
      </c>
      <c r="L16">
        <v>3</v>
      </c>
      <c r="M16">
        <v>45</v>
      </c>
      <c r="O16" s="9">
        <f t="shared" si="2"/>
        <v>0.50060281768250636</v>
      </c>
      <c r="P16" s="9">
        <f t="shared" si="3"/>
        <v>0.45054253591425575</v>
      </c>
      <c r="R16">
        <f t="shared" si="5"/>
        <v>0.9</v>
      </c>
      <c r="T16">
        <f t="shared" si="6"/>
        <v>0.98473192783466179</v>
      </c>
    </row>
    <row r="17" spans="2:20" x14ac:dyDescent="0.25">
      <c r="B17">
        <v>210</v>
      </c>
      <c r="C17" t="str">
        <f t="shared" si="4"/>
        <v>තෙලකීරිය</v>
      </c>
      <c r="D17" s="35" t="str">
        <f t="shared" si="0"/>
        <v>Excoecaria agallocha</v>
      </c>
      <c r="E17">
        <v>11.59</v>
      </c>
      <c r="F17">
        <f t="shared" si="1"/>
        <v>0.91439999999999999</v>
      </c>
      <c r="G17" t="s">
        <v>12</v>
      </c>
      <c r="J17">
        <v>4</v>
      </c>
      <c r="L17">
        <v>3</v>
      </c>
      <c r="M17">
        <v>36</v>
      </c>
      <c r="O17" s="9">
        <f t="shared" si="2"/>
        <v>0.12738479325809501</v>
      </c>
      <c r="P17" s="9">
        <f t="shared" si="3"/>
        <v>0.11464631393228551</v>
      </c>
      <c r="R17">
        <f t="shared" si="5"/>
        <v>0.9</v>
      </c>
      <c r="T17">
        <f t="shared" si="6"/>
        <v>0.98473192783466179</v>
      </c>
    </row>
    <row r="18" spans="2:20" x14ac:dyDescent="0.25">
      <c r="B18">
        <v>211</v>
      </c>
      <c r="C18" t="str">
        <f t="shared" si="4"/>
        <v>තෙලකීරිය</v>
      </c>
      <c r="D18" s="35" t="str">
        <f t="shared" si="0"/>
        <v>Excoecaria agallocha</v>
      </c>
      <c r="E18">
        <v>15.38</v>
      </c>
      <c r="F18">
        <f t="shared" si="1"/>
        <v>1.4478</v>
      </c>
      <c r="G18" t="s">
        <v>12</v>
      </c>
      <c r="J18">
        <v>4</v>
      </c>
      <c r="L18">
        <v>1</v>
      </c>
      <c r="M18">
        <v>57</v>
      </c>
      <c r="O18" s="9">
        <f t="shared" si="2"/>
        <v>0.25146493805373887</v>
      </c>
      <c r="P18" s="9">
        <f t="shared" si="3"/>
        <v>0.226318444248365</v>
      </c>
      <c r="R18">
        <f t="shared" si="5"/>
        <v>0.9</v>
      </c>
      <c r="T18">
        <f t="shared" si="6"/>
        <v>0.98473192783466179</v>
      </c>
    </row>
    <row r="19" spans="2:20" x14ac:dyDescent="0.25">
      <c r="B19">
        <v>212</v>
      </c>
      <c r="C19" t="str">
        <f t="shared" si="4"/>
        <v>තෙලකීරිය</v>
      </c>
      <c r="D19" s="35" t="str">
        <f t="shared" si="0"/>
        <v>Excoecaria agallocha</v>
      </c>
      <c r="E19">
        <v>21.67</v>
      </c>
      <c r="F19">
        <f t="shared" si="1"/>
        <v>0.96519999999999995</v>
      </c>
      <c r="G19" t="s">
        <v>12</v>
      </c>
      <c r="J19">
        <v>4</v>
      </c>
      <c r="L19">
        <v>6</v>
      </c>
      <c r="M19">
        <v>38</v>
      </c>
      <c r="O19" s="9">
        <f t="shared" si="2"/>
        <v>0.23745023612728516</v>
      </c>
      <c r="P19" s="9">
        <f t="shared" si="3"/>
        <v>0.21370521251455665</v>
      </c>
      <c r="R19">
        <f t="shared" si="5"/>
        <v>0.9</v>
      </c>
      <c r="T19">
        <f t="shared" si="6"/>
        <v>0.98473192783466179</v>
      </c>
    </row>
    <row r="20" spans="2:20" x14ac:dyDescent="0.25">
      <c r="B20">
        <v>213</v>
      </c>
      <c r="C20" t="str">
        <f t="shared" si="4"/>
        <v>තෙලකීරිය</v>
      </c>
      <c r="D20" s="35" t="str">
        <f t="shared" si="0"/>
        <v>Excoecaria agallocha</v>
      </c>
      <c r="E20">
        <v>31.36</v>
      </c>
      <c r="F20">
        <f t="shared" si="1"/>
        <v>1.27</v>
      </c>
      <c r="G20" t="s">
        <v>12</v>
      </c>
      <c r="J20">
        <v>4</v>
      </c>
      <c r="L20">
        <v>6</v>
      </c>
      <c r="M20">
        <v>50</v>
      </c>
      <c r="O20" s="9">
        <f t="shared" si="2"/>
        <v>0.42833252954312701</v>
      </c>
      <c r="P20" s="9">
        <f t="shared" si="3"/>
        <v>0.38549927658881433</v>
      </c>
      <c r="R20">
        <f t="shared" si="5"/>
        <v>0.9</v>
      </c>
      <c r="T20">
        <f t="shared" si="6"/>
        <v>0.98473192783466179</v>
      </c>
    </row>
    <row r="21" spans="2:20" x14ac:dyDescent="0.25">
      <c r="B21">
        <v>214</v>
      </c>
      <c r="C21" t="str">
        <f t="shared" si="4"/>
        <v>තෙලකීරිය</v>
      </c>
      <c r="D21" s="35" t="str">
        <f t="shared" si="0"/>
        <v>Excoecaria agallocha</v>
      </c>
      <c r="E21">
        <v>15.16</v>
      </c>
      <c r="F21">
        <f t="shared" si="1"/>
        <v>0.91439999999999999</v>
      </c>
      <c r="G21" t="s">
        <v>12</v>
      </c>
      <c r="J21">
        <v>4</v>
      </c>
      <c r="L21">
        <v>5</v>
      </c>
      <c r="M21">
        <v>36</v>
      </c>
      <c r="O21" s="9">
        <f t="shared" si="2"/>
        <v>0.16290620536470418</v>
      </c>
      <c r="P21" s="9">
        <f t="shared" si="3"/>
        <v>0.14661558482823378</v>
      </c>
      <c r="R21">
        <f t="shared" si="5"/>
        <v>0.9</v>
      </c>
      <c r="T21">
        <f t="shared" si="6"/>
        <v>0.98473192783466179</v>
      </c>
    </row>
    <row r="22" spans="2:20" x14ac:dyDescent="0.25">
      <c r="B22">
        <v>215</v>
      </c>
      <c r="C22" t="str">
        <f t="shared" si="4"/>
        <v>බේරිය</v>
      </c>
      <c r="D22" s="35" t="str">
        <f t="shared" si="0"/>
        <v>Lumitzera racemosa</v>
      </c>
      <c r="E22">
        <v>7.61</v>
      </c>
      <c r="F22">
        <f t="shared" si="1"/>
        <v>0.55879999999999996</v>
      </c>
      <c r="G22" t="s">
        <v>12</v>
      </c>
      <c r="J22">
        <v>1</v>
      </c>
      <c r="L22">
        <v>3</v>
      </c>
      <c r="M22">
        <v>22</v>
      </c>
      <c r="O22" s="9">
        <f t="shared" si="2"/>
        <v>8.2721563018469849E-2</v>
      </c>
      <c r="P22" s="9">
        <f t="shared" si="3"/>
        <v>7.4449406716622868E-2</v>
      </c>
      <c r="R22">
        <f t="shared" si="5"/>
        <v>0.9</v>
      </c>
      <c r="T22">
        <f t="shared" si="6"/>
        <v>0.98473192783466179</v>
      </c>
    </row>
    <row r="23" spans="2:20" x14ac:dyDescent="0.25">
      <c r="B23">
        <v>216</v>
      </c>
      <c r="C23" t="str">
        <f t="shared" si="4"/>
        <v>තෙලකීරිය</v>
      </c>
      <c r="D23" s="35" t="str">
        <f t="shared" si="0"/>
        <v>Excoecaria agallocha</v>
      </c>
      <c r="E23">
        <v>26.87</v>
      </c>
      <c r="F23">
        <f t="shared" si="1"/>
        <v>0.99059999999999993</v>
      </c>
      <c r="G23" t="s">
        <v>12</v>
      </c>
      <c r="J23">
        <v>4</v>
      </c>
      <c r="L23">
        <v>2</v>
      </c>
      <c r="M23">
        <v>39</v>
      </c>
      <c r="O23" s="9">
        <f t="shared" si="2"/>
        <v>0.29612047067692876</v>
      </c>
      <c r="P23" s="9">
        <f t="shared" si="3"/>
        <v>0.26650842360923588</v>
      </c>
      <c r="R23">
        <f t="shared" si="5"/>
        <v>0.9</v>
      </c>
      <c r="T23">
        <f t="shared" si="6"/>
        <v>0.98473192783466179</v>
      </c>
    </row>
    <row r="24" spans="2:20" x14ac:dyDescent="0.25">
      <c r="B24">
        <v>217</v>
      </c>
      <c r="C24" t="str">
        <f t="shared" si="4"/>
        <v>බේරිය</v>
      </c>
      <c r="D24" s="35" t="str">
        <f t="shared" si="0"/>
        <v>Lumitzera racemosa</v>
      </c>
      <c r="E24">
        <v>28.1</v>
      </c>
      <c r="F24">
        <f t="shared" si="1"/>
        <v>1.143</v>
      </c>
      <c r="G24" t="s">
        <v>12</v>
      </c>
      <c r="J24">
        <v>1</v>
      </c>
      <c r="L24">
        <v>2</v>
      </c>
      <c r="M24">
        <v>45</v>
      </c>
      <c r="O24" s="9">
        <f t="shared" si="2"/>
        <v>0.52719206176086197</v>
      </c>
      <c r="P24" s="9">
        <f t="shared" si="3"/>
        <v>0.47447285558477581</v>
      </c>
      <c r="R24">
        <f t="shared" si="5"/>
        <v>0.9</v>
      </c>
      <c r="T24">
        <f t="shared" si="6"/>
        <v>0.98473192783466179</v>
      </c>
    </row>
    <row r="25" spans="2:20" x14ac:dyDescent="0.25">
      <c r="B25">
        <v>218</v>
      </c>
      <c r="C25" t="str">
        <f t="shared" si="4"/>
        <v>තෙලකීරිය</v>
      </c>
      <c r="D25" s="35" t="str">
        <f t="shared" si="0"/>
        <v>Excoecaria agallocha</v>
      </c>
      <c r="E25">
        <v>28.87</v>
      </c>
      <c r="F25">
        <f t="shared" si="1"/>
        <v>1.2191999999999998</v>
      </c>
      <c r="G25" t="s">
        <v>12</v>
      </c>
      <c r="J25">
        <v>4</v>
      </c>
      <c r="L25">
        <v>3</v>
      </c>
      <c r="M25">
        <v>48</v>
      </c>
      <c r="O25" s="9">
        <f t="shared" si="2"/>
        <v>0.38249899288026012</v>
      </c>
      <c r="P25" s="9">
        <f t="shared" si="3"/>
        <v>0.3442490935922341</v>
      </c>
      <c r="R25">
        <f t="shared" si="5"/>
        <v>0.9</v>
      </c>
      <c r="T25">
        <f t="shared" si="6"/>
        <v>0.98473192783466179</v>
      </c>
    </row>
    <row r="26" spans="2:20" x14ac:dyDescent="0.25">
      <c r="B26">
        <v>219</v>
      </c>
      <c r="C26" t="str">
        <f t="shared" si="4"/>
        <v>තෙලකීරිය</v>
      </c>
      <c r="D26" s="35" t="str">
        <f t="shared" si="0"/>
        <v>Excoecaria agallocha</v>
      </c>
      <c r="E26">
        <v>15.48</v>
      </c>
      <c r="F26">
        <f t="shared" si="1"/>
        <v>0.86359999999999992</v>
      </c>
      <c r="G26" t="s">
        <v>12</v>
      </c>
      <c r="J26">
        <v>4</v>
      </c>
      <c r="L26">
        <v>1</v>
      </c>
      <c r="M26">
        <v>34</v>
      </c>
      <c r="O26" s="9">
        <f t="shared" si="2"/>
        <v>0.15758285065419678</v>
      </c>
      <c r="P26" s="9">
        <f t="shared" si="3"/>
        <v>0.1418245655887771</v>
      </c>
      <c r="R26">
        <f t="shared" si="5"/>
        <v>0.9</v>
      </c>
      <c r="T26">
        <f t="shared" si="6"/>
        <v>0.98473192783466179</v>
      </c>
    </row>
    <row r="27" spans="2:20" x14ac:dyDescent="0.25">
      <c r="B27">
        <v>220</v>
      </c>
      <c r="C27" t="str">
        <f t="shared" si="4"/>
        <v>බේරිය</v>
      </c>
      <c r="D27" s="35" t="str">
        <f t="shared" si="0"/>
        <v>Lumitzera racemosa</v>
      </c>
      <c r="E27">
        <v>9.8800000000000008</v>
      </c>
      <c r="F27">
        <f t="shared" si="1"/>
        <v>0.86359999999999992</v>
      </c>
      <c r="G27" t="s">
        <v>12</v>
      </c>
      <c r="J27">
        <v>1</v>
      </c>
      <c r="L27">
        <v>1</v>
      </c>
      <c r="M27">
        <v>34</v>
      </c>
      <c r="O27" s="9">
        <f t="shared" si="2"/>
        <v>0.15654646306010869</v>
      </c>
      <c r="P27" s="9">
        <f t="shared" si="3"/>
        <v>0.14089181675409782</v>
      </c>
      <c r="R27">
        <f t="shared" si="5"/>
        <v>0.9</v>
      </c>
      <c r="T27">
        <f t="shared" si="6"/>
        <v>0.98473192783466179</v>
      </c>
    </row>
    <row r="28" spans="2:20" x14ac:dyDescent="0.25">
      <c r="B28">
        <v>221</v>
      </c>
      <c r="C28" t="str">
        <f t="shared" si="4"/>
        <v>තෙලකීරිය</v>
      </c>
      <c r="D28" s="35" t="str">
        <f t="shared" si="0"/>
        <v>Excoecaria agallocha</v>
      </c>
      <c r="E28">
        <v>11.07</v>
      </c>
      <c r="F28">
        <f t="shared" si="1"/>
        <v>1.0668</v>
      </c>
      <c r="G28" t="s">
        <v>12</v>
      </c>
      <c r="J28">
        <v>4</v>
      </c>
      <c r="L28">
        <v>3</v>
      </c>
      <c r="M28">
        <v>42</v>
      </c>
      <c r="O28" s="9">
        <f t="shared" si="2"/>
        <v>0.14066292344259113</v>
      </c>
      <c r="P28" s="9">
        <f t="shared" si="3"/>
        <v>0.12659663109833202</v>
      </c>
      <c r="R28">
        <f t="shared" si="5"/>
        <v>0.9</v>
      </c>
      <c r="T28">
        <f t="shared" si="6"/>
        <v>0.98473192783466179</v>
      </c>
    </row>
    <row r="29" spans="2:20" x14ac:dyDescent="0.25">
      <c r="B29">
        <v>222</v>
      </c>
      <c r="C29" t="str">
        <f t="shared" si="4"/>
        <v>බේරිය</v>
      </c>
      <c r="D29" s="35" t="str">
        <f t="shared" si="0"/>
        <v>Lumitzera racemosa</v>
      </c>
      <c r="E29">
        <v>50.91</v>
      </c>
      <c r="F29">
        <f t="shared" si="1"/>
        <v>2.794</v>
      </c>
      <c r="G29" t="s">
        <v>12</v>
      </c>
      <c r="J29">
        <v>1</v>
      </c>
      <c r="L29">
        <v>6</v>
      </c>
      <c r="M29">
        <v>110</v>
      </c>
      <c r="O29" s="9">
        <f t="shared" si="2"/>
        <v>2.0604332377013992</v>
      </c>
      <c r="P29" s="9">
        <f t="shared" si="3"/>
        <v>1.8543899139312594</v>
      </c>
      <c r="R29">
        <f t="shared" si="5"/>
        <v>0.9</v>
      </c>
      <c r="T29">
        <f t="shared" si="6"/>
        <v>0.98473192783466179</v>
      </c>
    </row>
    <row r="30" spans="2:20" x14ac:dyDescent="0.25">
      <c r="B30">
        <v>223</v>
      </c>
      <c r="C30" t="str">
        <f t="shared" si="4"/>
        <v>තෙලකීරිය</v>
      </c>
      <c r="D30" s="35" t="str">
        <f t="shared" si="0"/>
        <v>Excoecaria agallocha</v>
      </c>
      <c r="E30">
        <v>35.43</v>
      </c>
      <c r="F30">
        <f t="shared" si="1"/>
        <v>1.397</v>
      </c>
      <c r="G30" t="s">
        <v>12</v>
      </c>
      <c r="J30">
        <v>4</v>
      </c>
      <c r="L30">
        <v>7</v>
      </c>
      <c r="M30">
        <v>55</v>
      </c>
      <c r="O30" s="9">
        <f t="shared" si="2"/>
        <v>0.52268527769189443</v>
      </c>
      <c r="P30" s="9">
        <f t="shared" si="3"/>
        <v>0.47041674992270499</v>
      </c>
      <c r="R30">
        <f t="shared" si="5"/>
        <v>0.9</v>
      </c>
      <c r="T30">
        <f t="shared" si="6"/>
        <v>0.98473192783466179</v>
      </c>
    </row>
    <row r="31" spans="2:20" x14ac:dyDescent="0.25">
      <c r="B31">
        <v>224</v>
      </c>
      <c r="C31" t="str">
        <f t="shared" si="4"/>
        <v>තෙලකීරිය</v>
      </c>
      <c r="D31" s="35" t="str">
        <f t="shared" si="0"/>
        <v>Excoecaria agallocha</v>
      </c>
      <c r="E31">
        <v>44.49</v>
      </c>
      <c r="F31">
        <f t="shared" si="1"/>
        <v>1.1683999999999999</v>
      </c>
      <c r="G31" t="s">
        <v>12</v>
      </c>
      <c r="J31">
        <v>4</v>
      </c>
      <c r="L31">
        <v>4</v>
      </c>
      <c r="M31">
        <v>46</v>
      </c>
      <c r="O31" s="9">
        <f t="shared" si="2"/>
        <v>0.54668682294420634</v>
      </c>
      <c r="P31" s="9">
        <f t="shared" si="3"/>
        <v>0.49201814064978572</v>
      </c>
      <c r="R31">
        <f t="shared" si="5"/>
        <v>0.9</v>
      </c>
      <c r="T31">
        <f t="shared" si="6"/>
        <v>0.98473192783466179</v>
      </c>
    </row>
    <row r="32" spans="2:20" x14ac:dyDescent="0.25">
      <c r="B32">
        <v>225</v>
      </c>
      <c r="C32" t="str">
        <f t="shared" si="4"/>
        <v>තෙලකීරිය</v>
      </c>
      <c r="D32" s="35" t="str">
        <f t="shared" si="0"/>
        <v>Excoecaria agallocha</v>
      </c>
      <c r="E32">
        <v>59.83</v>
      </c>
      <c r="F32">
        <f t="shared" si="1"/>
        <v>1.524</v>
      </c>
      <c r="G32" t="s">
        <v>12</v>
      </c>
      <c r="J32">
        <v>4</v>
      </c>
      <c r="L32">
        <v>15</v>
      </c>
      <c r="M32">
        <v>60</v>
      </c>
      <c r="O32" s="9">
        <f t="shared" si="2"/>
        <v>0.91472051730404913</v>
      </c>
      <c r="P32" s="9">
        <f t="shared" si="3"/>
        <v>0.82324846557364428</v>
      </c>
      <c r="R32">
        <f t="shared" si="5"/>
        <v>0.9</v>
      </c>
      <c r="T32">
        <f t="shared" si="6"/>
        <v>0.98473192783466179</v>
      </c>
    </row>
    <row r="33" spans="2:20" x14ac:dyDescent="0.25">
      <c r="B33">
        <v>226</v>
      </c>
      <c r="C33" t="str">
        <f t="shared" si="4"/>
        <v>තෙලකීරිය</v>
      </c>
      <c r="D33" s="35" t="str">
        <f t="shared" si="0"/>
        <v>Excoecaria agallocha</v>
      </c>
      <c r="E33">
        <v>41.34</v>
      </c>
      <c r="F33">
        <f t="shared" si="1"/>
        <v>1.4223999999999999</v>
      </c>
      <c r="G33" t="s">
        <v>12</v>
      </c>
      <c r="J33">
        <v>4</v>
      </c>
      <c r="L33">
        <v>5</v>
      </c>
      <c r="M33">
        <v>56</v>
      </c>
      <c r="O33" s="9">
        <f t="shared" si="2"/>
        <v>0.61203978494672118</v>
      </c>
      <c r="P33" s="9">
        <f t="shared" si="3"/>
        <v>0.5508358064520491</v>
      </c>
      <c r="R33">
        <f t="shared" si="5"/>
        <v>0.9</v>
      </c>
      <c r="T33">
        <f t="shared" si="6"/>
        <v>0.98473192783466179</v>
      </c>
    </row>
    <row r="34" spans="2:20" x14ac:dyDescent="0.25">
      <c r="B34">
        <v>227</v>
      </c>
      <c r="C34" t="str">
        <f t="shared" si="4"/>
        <v>තෙලකීරිය</v>
      </c>
      <c r="D34" s="35" t="str">
        <f t="shared" si="0"/>
        <v>Excoecaria agallocha</v>
      </c>
      <c r="E34">
        <v>21.11</v>
      </c>
      <c r="F34">
        <f t="shared" si="1"/>
        <v>1.0413999999999999</v>
      </c>
      <c r="G34" t="s">
        <v>12</v>
      </c>
      <c r="J34">
        <v>4</v>
      </c>
      <c r="L34">
        <v>5</v>
      </c>
      <c r="M34">
        <v>41</v>
      </c>
      <c r="O34" s="9">
        <f t="shared" si="2"/>
        <v>0.24853371009384834</v>
      </c>
      <c r="P34" s="9">
        <f t="shared" si="3"/>
        <v>0.2236803390844635</v>
      </c>
      <c r="R34">
        <f t="shared" si="5"/>
        <v>0.9</v>
      </c>
      <c r="T34">
        <f t="shared" si="6"/>
        <v>0.98473192783466179</v>
      </c>
    </row>
    <row r="35" spans="2:20" x14ac:dyDescent="0.25">
      <c r="B35">
        <v>228</v>
      </c>
      <c r="C35" t="str">
        <f t="shared" si="4"/>
        <v>තෙලකීරිය</v>
      </c>
      <c r="D35" s="35" t="str">
        <f t="shared" si="0"/>
        <v>Excoecaria agallocha</v>
      </c>
      <c r="E35">
        <v>39.89</v>
      </c>
      <c r="F35">
        <f t="shared" si="1"/>
        <v>1.3208</v>
      </c>
      <c r="G35" t="s">
        <v>12</v>
      </c>
      <c r="J35">
        <v>4</v>
      </c>
      <c r="L35">
        <v>2</v>
      </c>
      <c r="M35">
        <v>52</v>
      </c>
      <c r="O35" s="9">
        <f t="shared" si="2"/>
        <v>0.55347064099369281</v>
      </c>
      <c r="P35" s="9">
        <f t="shared" si="3"/>
        <v>0.49812357689432352</v>
      </c>
      <c r="R35">
        <f t="shared" si="5"/>
        <v>0.9</v>
      </c>
      <c r="T35">
        <f t="shared" si="6"/>
        <v>0.98473192783466179</v>
      </c>
    </row>
    <row r="36" spans="2:20" x14ac:dyDescent="0.25">
      <c r="B36">
        <v>229</v>
      </c>
      <c r="C36" t="str">
        <f t="shared" si="4"/>
        <v>තෙලකීරිය</v>
      </c>
      <c r="D36" s="35" t="str">
        <f t="shared" si="0"/>
        <v>Excoecaria agallocha</v>
      </c>
      <c r="E36">
        <v>38.19</v>
      </c>
      <c r="F36">
        <f t="shared" si="1"/>
        <v>1.524</v>
      </c>
      <c r="G36" t="s">
        <v>12</v>
      </c>
      <c r="J36">
        <v>4</v>
      </c>
      <c r="L36">
        <v>1</v>
      </c>
      <c r="M36">
        <v>60</v>
      </c>
      <c r="O36" s="9">
        <f t="shared" si="2"/>
        <v>0.60631247070296768</v>
      </c>
      <c r="P36" s="9">
        <f t="shared" si="3"/>
        <v>0.54568122363267091</v>
      </c>
      <c r="R36">
        <f t="shared" si="5"/>
        <v>0.9</v>
      </c>
      <c r="T36">
        <f t="shared" si="6"/>
        <v>0.98473192783466179</v>
      </c>
    </row>
    <row r="38" spans="2:20" ht="60" x14ac:dyDescent="0.25">
      <c r="O38" s="24" t="s">
        <v>106</v>
      </c>
      <c r="P38" s="23">
        <f>SUM(P4:P36)</f>
        <v>14.706278382446801</v>
      </c>
      <c r="Q38" s="66" t="s">
        <v>169</v>
      </c>
      <c r="R38">
        <f>AVERAGE(R4:R36)</f>
        <v>0.89999999999999947</v>
      </c>
    </row>
    <row r="39" spans="2:20" x14ac:dyDescent="0.25">
      <c r="Q39" t="s">
        <v>170</v>
      </c>
      <c r="R39">
        <f>STDEV(R4:R36)</f>
        <v>5.6371840561036674E-16</v>
      </c>
    </row>
    <row r="41" spans="2:20" x14ac:dyDescent="0.25">
      <c r="O41" s="21" t="s">
        <v>97</v>
      </c>
      <c r="P41" s="21"/>
      <c r="Q41" s="21"/>
      <c r="R41" s="21"/>
      <c r="S41" s="21"/>
    </row>
    <row r="42" spans="2:20" x14ac:dyDescent="0.25">
      <c r="O42" s="21" t="s">
        <v>107</v>
      </c>
      <c r="P42" s="21">
        <f>1.24*P38</f>
        <v>18.235785194234033</v>
      </c>
      <c r="Q42" s="21"/>
      <c r="R42" s="21"/>
      <c r="S42" s="21"/>
    </row>
    <row r="43" spans="2:20" x14ac:dyDescent="0.25">
      <c r="O43" s="21"/>
      <c r="P43" s="21"/>
      <c r="Q43" s="21"/>
      <c r="R43" s="21"/>
      <c r="S43" s="21"/>
    </row>
    <row r="44" spans="2:20" x14ac:dyDescent="0.25">
      <c r="O44" s="21"/>
      <c r="P44" s="21"/>
      <c r="Q44" s="21"/>
      <c r="R44" s="21"/>
      <c r="S44" s="21"/>
    </row>
    <row r="45" spans="2:20" x14ac:dyDescent="0.25">
      <c r="O45" s="21" t="s">
        <v>109</v>
      </c>
      <c r="P45" s="21"/>
      <c r="Q45" s="21"/>
      <c r="R45" s="21"/>
      <c r="S45" s="21"/>
    </row>
    <row r="46" spans="2:20" ht="30" x14ac:dyDescent="0.25">
      <c r="O46" s="26" t="s">
        <v>108</v>
      </c>
      <c r="P46" s="21">
        <f>1.2*P42</f>
        <v>21.88294223308084</v>
      </c>
      <c r="Q46" s="21"/>
      <c r="R46" s="21"/>
      <c r="S46" s="21"/>
    </row>
    <row r="47" spans="2:20" x14ac:dyDescent="0.25">
      <c r="O47" s="21"/>
      <c r="P47" s="21"/>
      <c r="Q47" s="21"/>
      <c r="R47" s="21"/>
      <c r="S47" s="21"/>
    </row>
    <row r="48" spans="2:20" x14ac:dyDescent="0.25">
      <c r="O48" s="21"/>
      <c r="P48" s="21"/>
      <c r="Q48" s="21"/>
      <c r="R48" s="21"/>
      <c r="S48" s="21"/>
    </row>
    <row r="49" spans="15:16" ht="30" x14ac:dyDescent="0.25">
      <c r="O49" s="49" t="s">
        <v>135</v>
      </c>
      <c r="P49" s="44" t="s">
        <v>136</v>
      </c>
    </row>
    <row r="50" spans="15:16" ht="30" x14ac:dyDescent="0.25">
      <c r="O50" s="46" t="s">
        <v>138</v>
      </c>
      <c r="P50" s="45">
        <f>1.83*P42</f>
        <v>33.371486905448279</v>
      </c>
    </row>
  </sheetData>
  <mergeCells count="2">
    <mergeCell ref="A1:L1"/>
    <mergeCell ref="A2:L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3"/>
  <sheetViews>
    <sheetView zoomScale="25" zoomScaleNormal="25" workbookViewId="0">
      <selection activeCell="V23" sqref="V23"/>
    </sheetView>
  </sheetViews>
  <sheetFormatPr defaultRowHeight="15" x14ac:dyDescent="0.25"/>
  <cols>
    <col min="3" max="3" width="25" customWidth="1"/>
    <col min="4" max="4" width="20.5703125" customWidth="1"/>
    <col min="5" max="5" width="12.5703125" customWidth="1"/>
    <col min="6" max="6" width="17.28515625" customWidth="1"/>
    <col min="7" max="7" width="15.42578125" customWidth="1"/>
    <col min="8" max="8" width="16.7109375" customWidth="1"/>
    <col min="11" max="11" width="16.28515625" customWidth="1"/>
    <col min="12" max="12" width="13.7109375" customWidth="1"/>
    <col min="13" max="13" width="12.85546875" customWidth="1"/>
    <col min="15" max="15" width="18.140625" customWidth="1"/>
    <col min="16" max="16" width="18" customWidth="1"/>
    <col min="17" max="17" width="14.710937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60" x14ac:dyDescent="0.25">
      <c r="A3" s="2" t="s">
        <v>0</v>
      </c>
      <c r="B3" s="2" t="s">
        <v>1</v>
      </c>
      <c r="C3" s="2" t="s">
        <v>2</v>
      </c>
      <c r="D3" s="2" t="s">
        <v>3</v>
      </c>
      <c r="E3" s="2" t="s">
        <v>35</v>
      </c>
      <c r="F3" s="2" t="s">
        <v>10</v>
      </c>
      <c r="G3" s="2" t="s">
        <v>11</v>
      </c>
      <c r="H3" s="1" t="s">
        <v>5</v>
      </c>
      <c r="I3" s="2" t="s">
        <v>6</v>
      </c>
      <c r="J3" s="2" t="s">
        <v>7</v>
      </c>
      <c r="K3" s="2" t="s">
        <v>8</v>
      </c>
      <c r="L3" s="2" t="s">
        <v>9</v>
      </c>
      <c r="M3" s="2" t="s">
        <v>4</v>
      </c>
      <c r="O3" s="13" t="s">
        <v>79</v>
      </c>
      <c r="P3" s="18" t="s">
        <v>80</v>
      </c>
      <c r="R3" s="66" t="s">
        <v>168</v>
      </c>
      <c r="T3" s="66" t="s">
        <v>171</v>
      </c>
    </row>
    <row r="4" spans="1:20" x14ac:dyDescent="0.25">
      <c r="A4">
        <v>7</v>
      </c>
      <c r="B4" s="5">
        <v>240</v>
      </c>
      <c r="C4" s="53" t="str">
        <f>IF(J4=1,"බේරිය",IF(J4=2,"මණ්ඩ",IF(J4=3,"කඩොල්",IF(J4=4,"තෙලකීරිය","හීන් කඩොල්/ ඇවරි කඩොල්"))))</f>
        <v>බේරිය</v>
      </c>
      <c r="D4" s="54" t="str">
        <f t="shared" ref="D4:D49" si="0">IF(J4=1,"Lumitzera racemosa",IF(J4=2,"Avicenia marina",IF(J4=3,"Rhizophora spp.",IF(J4=4,"Excoecaria agallocha","Aegiceras corniculatum"))))</f>
        <v>Lumitzera racemosa</v>
      </c>
      <c r="E4" s="5">
        <v>27</v>
      </c>
      <c r="F4" s="5">
        <v>3</v>
      </c>
      <c r="G4" s="5" t="s">
        <v>12</v>
      </c>
      <c r="H4" s="5"/>
      <c r="I4" s="5"/>
      <c r="J4" s="5">
        <v>1</v>
      </c>
      <c r="K4" s="5"/>
      <c r="L4" s="5"/>
      <c r="M4">
        <f>ROUND((E4/PI())*10,2)</f>
        <v>85.94</v>
      </c>
      <c r="O4" s="9">
        <f>0.251*(IF(J4=1,0.7,IF(J4=2,0.58,IF(J4=3,0.62,IF(J4=4,0.45,0.55))))*M4/10*F4)^0.916</f>
        <v>3.5526263728995753</v>
      </c>
      <c r="P4" s="9">
        <f>O4*IF(G4="A",1,IF(G4="B",0.9,IF(G4="C",0.75,0.5)))</f>
        <v>3.1973637356096178</v>
      </c>
      <c r="R4">
        <f>IF(G4="A",1,IF(G4="B",0.9,IF(G4="C",0.75,0.5)))</f>
        <v>0.9</v>
      </c>
      <c r="T4">
        <f>STANDARDIZE(R4,$R$51,$R$52)</f>
        <v>5.7295327871113591E-2</v>
      </c>
    </row>
    <row r="5" spans="1:20" x14ac:dyDescent="0.25">
      <c r="B5" s="5">
        <v>241</v>
      </c>
      <c r="C5" s="53"/>
      <c r="D5" s="54"/>
      <c r="E5" s="5">
        <v>37</v>
      </c>
      <c r="F5" s="5"/>
      <c r="G5" s="5" t="s">
        <v>12</v>
      </c>
      <c r="H5" s="5"/>
      <c r="I5" s="5"/>
      <c r="J5" s="5"/>
      <c r="K5" s="5"/>
      <c r="L5" s="5"/>
      <c r="M5">
        <f t="shared" ref="M5:M49" si="1">ROUND((E5/PI())*10,2)</f>
        <v>117.77</v>
      </c>
      <c r="O5" s="9">
        <f>0.251*(IF(J5=1,0.7,IF(J5=2,0.58,IF(J5=3,0.62,IF(J5=4,0.45,0.55))))*M5/10*F4)^0.916</f>
        <v>3.8015155975650328</v>
      </c>
      <c r="P5" s="9">
        <f t="shared" ref="P5:P49" si="2">O5*IF(G5="A",1,IF(G5="B",0.9,IF(G5="C",0.75,0.5)))</f>
        <v>3.4213640378085297</v>
      </c>
      <c r="R5">
        <f t="shared" ref="R5:R49" si="3">IF(G5="A",1,IF(G5="B",0.9,IF(G5="C",0.75,0.5)))</f>
        <v>0.9</v>
      </c>
      <c r="T5">
        <f t="shared" ref="T5:T49" si="4">STANDARDIZE(R5,$R$51,$R$52)</f>
        <v>5.7295327871113591E-2</v>
      </c>
    </row>
    <row r="6" spans="1:20" x14ac:dyDescent="0.25">
      <c r="B6" s="5">
        <v>242</v>
      </c>
      <c r="C6" s="53"/>
      <c r="D6" s="54"/>
      <c r="E6" s="5">
        <v>28</v>
      </c>
      <c r="F6" s="5"/>
      <c r="G6" s="5" t="s">
        <v>12</v>
      </c>
      <c r="H6" s="5"/>
      <c r="I6" s="5"/>
      <c r="J6" s="5"/>
      <c r="K6" s="5"/>
      <c r="L6" s="5"/>
      <c r="M6">
        <f t="shared" si="1"/>
        <v>89.13</v>
      </c>
      <c r="O6" s="9">
        <f>0.251*(IF(J6=1,0.7,IF(J6=2,0.58,IF(J6=3,0.62,IF(J6=4,0.45,0.55))))*M6/10*F4)^0.916</f>
        <v>2.9451736940657338</v>
      </c>
      <c r="P6" s="9">
        <f t="shared" si="2"/>
        <v>2.6506563246591606</v>
      </c>
      <c r="R6">
        <f t="shared" si="3"/>
        <v>0.9</v>
      </c>
      <c r="T6">
        <f t="shared" si="4"/>
        <v>5.7295327871113591E-2</v>
      </c>
    </row>
    <row r="7" spans="1:20" x14ac:dyDescent="0.25">
      <c r="B7" s="4">
        <v>243</v>
      </c>
      <c r="C7" s="4" t="str">
        <f t="shared" ref="C7:C49" si="5">IF(J7=1,"බේරිය",IF(J7=2,"මණ්ඩ",IF(J7=3,"කඩොල්",IF(J7=4,"තෙලකීරිය","හීන් කඩොල්/ ඇවරි කඩොල්"))))</f>
        <v>මණ්ඩ</v>
      </c>
      <c r="D7" s="57" t="str">
        <f t="shared" si="0"/>
        <v>Avicenia marina</v>
      </c>
      <c r="E7" s="4">
        <v>16</v>
      </c>
      <c r="F7" s="4">
        <v>3</v>
      </c>
      <c r="G7" s="4" t="s">
        <v>12</v>
      </c>
      <c r="H7" s="4"/>
      <c r="I7" s="4"/>
      <c r="J7" s="4">
        <v>2</v>
      </c>
      <c r="K7" s="4"/>
      <c r="L7" s="4"/>
      <c r="M7">
        <f t="shared" si="1"/>
        <v>50.93</v>
      </c>
      <c r="O7" s="9">
        <f t="shared" ref="O7:O49" si="6">0.251*(IF(J7=1,0.7,IF(J7=2,0.58,IF(J7=3,0.62,IF(J7=4,0.45,0.55))))*M7/10*F7)^0.916</f>
        <v>1.8518453709741316</v>
      </c>
      <c r="P7" s="9">
        <f t="shared" si="2"/>
        <v>1.6666608338767184</v>
      </c>
      <c r="R7">
        <f t="shared" si="3"/>
        <v>0.9</v>
      </c>
      <c r="T7">
        <f t="shared" si="4"/>
        <v>5.7295327871113591E-2</v>
      </c>
    </row>
    <row r="8" spans="1:20" x14ac:dyDescent="0.25">
      <c r="B8" s="4">
        <v>244</v>
      </c>
      <c r="C8" s="4"/>
      <c r="D8" s="57"/>
      <c r="E8" s="4">
        <v>28</v>
      </c>
      <c r="F8" s="4"/>
      <c r="G8" s="4" t="s">
        <v>12</v>
      </c>
      <c r="H8" s="4"/>
      <c r="I8" s="4"/>
      <c r="J8" s="4"/>
      <c r="K8" s="4"/>
      <c r="L8" s="4"/>
      <c r="M8">
        <f t="shared" si="1"/>
        <v>89.13</v>
      </c>
      <c r="O8" s="9">
        <f>0.251*(IF(J8=1,0.7,IF(J8=2,0.58,IF(J8=3,0.62,IF(J8=4,0.45,0.55))))*M8/10*F7)^0.916</f>
        <v>2.9451736940657338</v>
      </c>
      <c r="P8" s="9">
        <f t="shared" si="2"/>
        <v>2.6506563246591606</v>
      </c>
      <c r="R8">
        <f t="shared" si="3"/>
        <v>0.9</v>
      </c>
      <c r="T8">
        <f t="shared" si="4"/>
        <v>5.7295327871113591E-2</v>
      </c>
    </row>
    <row r="9" spans="1:20" x14ac:dyDescent="0.25">
      <c r="B9" s="4">
        <v>245</v>
      </c>
      <c r="C9" s="4"/>
      <c r="D9" s="57"/>
      <c r="E9" s="4">
        <v>22</v>
      </c>
      <c r="F9" s="4"/>
      <c r="G9" s="4" t="s">
        <v>12</v>
      </c>
      <c r="H9" s="4"/>
      <c r="I9" s="4"/>
      <c r="J9" s="4"/>
      <c r="K9" s="4"/>
      <c r="L9" s="4"/>
      <c r="M9">
        <f t="shared" si="1"/>
        <v>70.03</v>
      </c>
      <c r="O9" s="9">
        <f>0.251*(IF(J9=1,0.7,IF(J9=2,0.58,IF(J9=3,0.62,IF(J9=4,0.45,0.55))))*M9/10*F7)^0.916</f>
        <v>2.3613984515158379</v>
      </c>
      <c r="P9" s="9">
        <f t="shared" si="2"/>
        <v>2.125258606364254</v>
      </c>
      <c r="R9">
        <f t="shared" si="3"/>
        <v>0.9</v>
      </c>
      <c r="T9">
        <f t="shared" si="4"/>
        <v>5.7295327871113591E-2</v>
      </c>
    </row>
    <row r="10" spans="1:20" x14ac:dyDescent="0.25">
      <c r="B10" s="4">
        <v>246</v>
      </c>
      <c r="C10" s="4"/>
      <c r="D10" s="57"/>
      <c r="E10" s="4">
        <v>24</v>
      </c>
      <c r="F10" s="4"/>
      <c r="G10" s="4" t="s">
        <v>12</v>
      </c>
      <c r="H10" s="4"/>
      <c r="I10" s="4"/>
      <c r="J10" s="4"/>
      <c r="K10" s="4"/>
      <c r="L10" s="4"/>
      <c r="M10">
        <f t="shared" si="1"/>
        <v>76.39</v>
      </c>
      <c r="O10" s="9">
        <f>0.251*(IF(J10=1,0.7,IF(J10=2,0.58,IF(J10=3,0.62,IF(J10=4,0.45,0.55))))*M10/10*F7)^0.916</f>
        <v>2.5571161644501541</v>
      </c>
      <c r="P10" s="9">
        <f t="shared" si="2"/>
        <v>2.3014045480051388</v>
      </c>
      <c r="R10">
        <f t="shared" si="3"/>
        <v>0.9</v>
      </c>
      <c r="T10">
        <f t="shared" si="4"/>
        <v>5.7295327871113591E-2</v>
      </c>
    </row>
    <row r="11" spans="1:20" x14ac:dyDescent="0.25">
      <c r="B11" s="4">
        <v>247</v>
      </c>
      <c r="C11" s="4"/>
      <c r="D11" s="57"/>
      <c r="E11" s="4">
        <v>27</v>
      </c>
      <c r="F11" s="4"/>
      <c r="G11" s="4" t="s">
        <v>12</v>
      </c>
      <c r="H11" s="4"/>
      <c r="I11" s="4"/>
      <c r="J11" s="4"/>
      <c r="K11" s="4"/>
      <c r="L11" s="4"/>
      <c r="M11">
        <f t="shared" si="1"/>
        <v>85.94</v>
      </c>
      <c r="O11" s="9">
        <f>0.251*(IF(J11=1,0.7,IF(J11=2,0.58,IF(J11=3,0.62,IF(J11=4,0.45,0.55))))*M11/10*F7)^0.916</f>
        <v>2.8484719974523318</v>
      </c>
      <c r="P11" s="9">
        <f t="shared" si="2"/>
        <v>2.5636247977070985</v>
      </c>
      <c r="R11">
        <f t="shared" si="3"/>
        <v>0.9</v>
      </c>
      <c r="T11">
        <f t="shared" si="4"/>
        <v>5.7295327871113591E-2</v>
      </c>
    </row>
    <row r="12" spans="1:20" x14ac:dyDescent="0.25">
      <c r="B12" s="5">
        <v>248</v>
      </c>
      <c r="C12" s="5" t="str">
        <f t="shared" si="5"/>
        <v>බේරිය</v>
      </c>
      <c r="D12" s="58" t="str">
        <f t="shared" si="0"/>
        <v>Lumitzera racemosa</v>
      </c>
      <c r="E12" s="5">
        <v>48</v>
      </c>
      <c r="F12" s="5">
        <v>3</v>
      </c>
      <c r="G12" s="5" t="s">
        <v>12</v>
      </c>
      <c r="H12" s="5"/>
      <c r="I12" s="5"/>
      <c r="J12" s="5">
        <v>1</v>
      </c>
      <c r="K12" s="5"/>
      <c r="L12" s="5"/>
      <c r="M12">
        <f t="shared" si="1"/>
        <v>152.79</v>
      </c>
      <c r="O12" s="9">
        <f t="shared" si="6"/>
        <v>6.0180743950513742</v>
      </c>
      <c r="P12" s="9">
        <f t="shared" si="2"/>
        <v>5.416266955546237</v>
      </c>
      <c r="R12">
        <f t="shared" si="3"/>
        <v>0.9</v>
      </c>
      <c r="T12">
        <f t="shared" si="4"/>
        <v>5.7295327871113591E-2</v>
      </c>
    </row>
    <row r="13" spans="1:20" x14ac:dyDescent="0.25">
      <c r="B13" s="4">
        <v>249</v>
      </c>
      <c r="C13" s="4" t="str">
        <f t="shared" si="5"/>
        <v>බේරිය</v>
      </c>
      <c r="D13" s="57" t="str">
        <f t="shared" si="0"/>
        <v>Lumitzera racemosa</v>
      </c>
      <c r="E13" s="4">
        <v>22.5</v>
      </c>
      <c r="F13" s="4">
        <v>2.5</v>
      </c>
      <c r="G13" s="4" t="s">
        <v>12</v>
      </c>
      <c r="H13" s="4"/>
      <c r="I13" s="4"/>
      <c r="J13" s="4">
        <v>1</v>
      </c>
      <c r="K13" s="4"/>
      <c r="L13" s="4"/>
      <c r="M13">
        <f t="shared" si="1"/>
        <v>71.62</v>
      </c>
      <c r="O13" s="9">
        <f t="shared" si="6"/>
        <v>2.5439467016835779</v>
      </c>
      <c r="P13" s="9">
        <f t="shared" si="2"/>
        <v>2.2895520315152202</v>
      </c>
      <c r="R13">
        <f t="shared" si="3"/>
        <v>0.9</v>
      </c>
      <c r="T13">
        <f t="shared" si="4"/>
        <v>5.7295327871113591E-2</v>
      </c>
    </row>
    <row r="14" spans="1:20" x14ac:dyDescent="0.25">
      <c r="B14" s="4">
        <v>250</v>
      </c>
      <c r="C14" s="4"/>
      <c r="D14" s="57"/>
      <c r="E14" s="4">
        <v>19</v>
      </c>
      <c r="F14" s="4"/>
      <c r="G14" s="4" t="s">
        <v>12</v>
      </c>
      <c r="H14" s="4"/>
      <c r="I14" s="4"/>
      <c r="J14" s="4"/>
      <c r="K14" s="4"/>
      <c r="L14" s="4"/>
      <c r="M14">
        <f t="shared" si="1"/>
        <v>60.48</v>
      </c>
      <c r="O14" s="9">
        <f>0.251*(IF(J14=1,0.7,IF(J14=2,0.58,IF(J14=3,0.62,IF(J14=4,0.45,0.55))))*M14/10*F13)^0.916</f>
        <v>1.7470904338980815</v>
      </c>
      <c r="P14" s="9">
        <f t="shared" si="2"/>
        <v>1.5723813905082733</v>
      </c>
      <c r="R14">
        <f t="shared" si="3"/>
        <v>0.9</v>
      </c>
      <c r="T14">
        <f t="shared" si="4"/>
        <v>5.7295327871113591E-2</v>
      </c>
    </row>
    <row r="15" spans="1:20" x14ac:dyDescent="0.25">
      <c r="B15" s="4">
        <v>251</v>
      </c>
      <c r="C15" s="4"/>
      <c r="D15" s="57"/>
      <c r="E15" s="4">
        <v>19</v>
      </c>
      <c r="F15" s="4"/>
      <c r="G15" s="4" t="s">
        <v>12</v>
      </c>
      <c r="H15" s="4"/>
      <c r="I15" s="4"/>
      <c r="J15" s="4"/>
      <c r="K15" s="4"/>
      <c r="L15" s="4"/>
      <c r="M15">
        <f t="shared" si="1"/>
        <v>60.48</v>
      </c>
      <c r="O15" s="9">
        <f>0.251*(IF(J15=1,0.7,IF(J15=2,0.58,IF(J15=3,0.62,IF(J15=4,0.45,0.55))))*M15/10*F13)^0.916</f>
        <v>1.7470904338980815</v>
      </c>
      <c r="P15" s="9">
        <f t="shared" si="2"/>
        <v>1.5723813905082733</v>
      </c>
      <c r="R15">
        <f t="shared" si="3"/>
        <v>0.9</v>
      </c>
      <c r="T15">
        <f t="shared" si="4"/>
        <v>5.7295327871113591E-2</v>
      </c>
    </row>
    <row r="16" spans="1:20" x14ac:dyDescent="0.25">
      <c r="B16" s="5">
        <v>252</v>
      </c>
      <c r="C16" s="5" t="str">
        <f t="shared" si="5"/>
        <v>තෙලකීරිය</v>
      </c>
      <c r="D16" s="58" t="str">
        <f t="shared" si="0"/>
        <v>Excoecaria agallocha</v>
      </c>
      <c r="E16" s="5">
        <v>16.5</v>
      </c>
      <c r="F16" s="5">
        <v>2</v>
      </c>
      <c r="G16" s="5" t="s">
        <v>12</v>
      </c>
      <c r="H16" s="5"/>
      <c r="I16" s="5"/>
      <c r="J16" s="5">
        <v>4</v>
      </c>
      <c r="K16" s="5"/>
      <c r="L16" s="5"/>
      <c r="M16">
        <f t="shared" si="1"/>
        <v>52.52</v>
      </c>
      <c r="O16" s="9">
        <f t="shared" si="6"/>
        <v>1.0413034356218511</v>
      </c>
      <c r="P16" s="9">
        <f t="shared" si="2"/>
        <v>0.93717309205966604</v>
      </c>
      <c r="R16">
        <f t="shared" si="3"/>
        <v>0.9</v>
      </c>
      <c r="T16">
        <f t="shared" si="4"/>
        <v>5.7295327871113591E-2</v>
      </c>
    </row>
    <row r="17" spans="2:20" x14ac:dyDescent="0.25">
      <c r="B17" s="4">
        <v>254</v>
      </c>
      <c r="C17" s="4" t="str">
        <f t="shared" si="5"/>
        <v>බේරිය</v>
      </c>
      <c r="D17" s="57" t="str">
        <f t="shared" si="0"/>
        <v>Lumitzera racemosa</v>
      </c>
      <c r="E17" s="4">
        <v>19</v>
      </c>
      <c r="F17" s="4">
        <v>1.9</v>
      </c>
      <c r="G17" s="4" t="s">
        <v>12</v>
      </c>
      <c r="H17" s="4"/>
      <c r="I17" s="4"/>
      <c r="J17" s="4">
        <v>1</v>
      </c>
      <c r="K17" s="4"/>
      <c r="L17" s="4"/>
      <c r="M17">
        <f t="shared" si="1"/>
        <v>60.48</v>
      </c>
      <c r="O17" s="9">
        <f t="shared" si="6"/>
        <v>1.6946429818117938</v>
      </c>
      <c r="P17" s="9">
        <f t="shared" si="2"/>
        <v>1.5251786836306145</v>
      </c>
      <c r="R17">
        <f t="shared" si="3"/>
        <v>0.9</v>
      </c>
      <c r="T17">
        <f t="shared" si="4"/>
        <v>5.7295327871113591E-2</v>
      </c>
    </row>
    <row r="18" spans="2:20" x14ac:dyDescent="0.25">
      <c r="B18" s="5">
        <v>255</v>
      </c>
      <c r="C18" s="5" t="str">
        <f t="shared" si="5"/>
        <v>බේරිය</v>
      </c>
      <c r="D18" s="58" t="str">
        <f t="shared" si="0"/>
        <v>Lumitzera racemosa</v>
      </c>
      <c r="E18" s="5">
        <v>19</v>
      </c>
      <c r="F18" s="5">
        <v>1.5</v>
      </c>
      <c r="G18" s="5" t="s">
        <v>12</v>
      </c>
      <c r="H18" s="5"/>
      <c r="I18" s="5"/>
      <c r="J18" s="5">
        <v>1</v>
      </c>
      <c r="K18" s="5"/>
      <c r="L18" s="5"/>
      <c r="M18">
        <f t="shared" si="1"/>
        <v>60.48</v>
      </c>
      <c r="O18" s="9">
        <f t="shared" si="6"/>
        <v>1.3647072922645376</v>
      </c>
      <c r="P18" s="9">
        <f t="shared" si="2"/>
        <v>1.2282365630380838</v>
      </c>
      <c r="R18">
        <f t="shared" si="3"/>
        <v>0.9</v>
      </c>
      <c r="T18">
        <f t="shared" si="4"/>
        <v>5.7295327871113591E-2</v>
      </c>
    </row>
    <row r="19" spans="2:20" x14ac:dyDescent="0.25">
      <c r="B19" s="4">
        <v>256</v>
      </c>
      <c r="C19" s="4" t="str">
        <f t="shared" si="5"/>
        <v>බේරිය</v>
      </c>
      <c r="D19" s="57" t="str">
        <f t="shared" si="0"/>
        <v>Lumitzera racemosa</v>
      </c>
      <c r="E19" s="4">
        <v>23</v>
      </c>
      <c r="F19" s="4">
        <v>2</v>
      </c>
      <c r="G19" s="4" t="s">
        <v>12</v>
      </c>
      <c r="H19" s="4"/>
      <c r="I19" s="4"/>
      <c r="J19" s="4">
        <v>1</v>
      </c>
      <c r="K19" s="4"/>
      <c r="L19" s="4"/>
      <c r="M19">
        <f t="shared" si="1"/>
        <v>73.209999999999994</v>
      </c>
      <c r="O19" s="9">
        <f t="shared" si="6"/>
        <v>2.1157945535417917</v>
      </c>
      <c r="P19" s="9">
        <f t="shared" si="2"/>
        <v>1.9042150981876125</v>
      </c>
      <c r="R19">
        <f t="shared" si="3"/>
        <v>0.9</v>
      </c>
      <c r="T19">
        <f t="shared" si="4"/>
        <v>5.7295327871113591E-2</v>
      </c>
    </row>
    <row r="20" spans="2:20" x14ac:dyDescent="0.25">
      <c r="B20" s="5">
        <v>257</v>
      </c>
      <c r="C20" s="5" t="str">
        <f t="shared" si="5"/>
        <v>තෙලකීරිය</v>
      </c>
      <c r="D20" s="58" t="str">
        <f t="shared" si="0"/>
        <v>Excoecaria agallocha</v>
      </c>
      <c r="E20" s="5">
        <v>17</v>
      </c>
      <c r="F20" s="5">
        <v>1</v>
      </c>
      <c r="G20" s="5" t="s">
        <v>12</v>
      </c>
      <c r="H20" s="5"/>
      <c r="I20" s="5"/>
      <c r="J20" s="5">
        <v>4</v>
      </c>
      <c r="K20" s="5"/>
      <c r="L20" s="5"/>
      <c r="M20">
        <f t="shared" si="1"/>
        <v>54.11</v>
      </c>
      <c r="O20" s="9">
        <f t="shared" si="6"/>
        <v>0.56715087334608805</v>
      </c>
      <c r="P20" s="9">
        <f t="shared" si="2"/>
        <v>0.51043578601147921</v>
      </c>
      <c r="R20">
        <f t="shared" si="3"/>
        <v>0.9</v>
      </c>
      <c r="T20">
        <f t="shared" si="4"/>
        <v>5.7295327871113591E-2</v>
      </c>
    </row>
    <row r="21" spans="2:20" x14ac:dyDescent="0.25">
      <c r="B21" s="4">
        <v>258</v>
      </c>
      <c r="C21" s="4" t="str">
        <f t="shared" si="5"/>
        <v>මණ්ඩ</v>
      </c>
      <c r="D21" s="57" t="str">
        <f t="shared" si="0"/>
        <v>Avicenia marina</v>
      </c>
      <c r="E21" s="4">
        <v>18</v>
      </c>
      <c r="F21" s="4">
        <v>3</v>
      </c>
      <c r="G21" s="4" t="s">
        <v>14</v>
      </c>
      <c r="H21" s="4"/>
      <c r="I21" s="4"/>
      <c r="J21" s="4">
        <v>2</v>
      </c>
      <c r="K21" s="4"/>
      <c r="L21" s="4"/>
      <c r="M21">
        <f t="shared" si="1"/>
        <v>57.3</v>
      </c>
      <c r="O21" s="9">
        <f t="shared" si="6"/>
        <v>2.0629393815367885</v>
      </c>
      <c r="P21" s="9">
        <f t="shared" si="2"/>
        <v>1.5472045361525915</v>
      </c>
      <c r="R21">
        <f t="shared" si="3"/>
        <v>0.75</v>
      </c>
      <c r="T21">
        <f t="shared" si="4"/>
        <v>-3.8960822952345362</v>
      </c>
    </row>
    <row r="22" spans="2:20" x14ac:dyDescent="0.25">
      <c r="B22" s="5">
        <v>259</v>
      </c>
      <c r="C22" s="5" t="str">
        <f t="shared" si="5"/>
        <v>තෙලකීරිය</v>
      </c>
      <c r="D22" s="58" t="str">
        <f t="shared" si="0"/>
        <v>Excoecaria agallocha</v>
      </c>
      <c r="E22" s="5">
        <v>20</v>
      </c>
      <c r="F22" s="5">
        <v>3</v>
      </c>
      <c r="G22" s="5" t="s">
        <v>12</v>
      </c>
      <c r="H22" s="5"/>
      <c r="I22" s="5"/>
      <c r="J22" s="5">
        <v>4</v>
      </c>
      <c r="K22" s="5"/>
      <c r="L22" s="5"/>
      <c r="M22">
        <f t="shared" si="1"/>
        <v>63.66</v>
      </c>
      <c r="O22" s="9">
        <f t="shared" si="6"/>
        <v>1.8005338496516261</v>
      </c>
      <c r="P22" s="9">
        <f t="shared" si="2"/>
        <v>1.6204804646864635</v>
      </c>
      <c r="R22">
        <f t="shared" si="3"/>
        <v>0.9</v>
      </c>
      <c r="T22">
        <f t="shared" si="4"/>
        <v>5.7295327871113591E-2</v>
      </c>
    </row>
    <row r="23" spans="2:20" x14ac:dyDescent="0.25">
      <c r="B23" s="4">
        <v>260</v>
      </c>
      <c r="C23" s="4" t="str">
        <f t="shared" si="5"/>
        <v>තෙලකීරිය</v>
      </c>
      <c r="D23" s="57" t="str">
        <f t="shared" si="0"/>
        <v>Excoecaria agallocha</v>
      </c>
      <c r="E23" s="4">
        <v>22</v>
      </c>
      <c r="F23" s="4">
        <v>2</v>
      </c>
      <c r="G23" s="4" t="s">
        <v>12</v>
      </c>
      <c r="H23" s="4"/>
      <c r="I23" s="4"/>
      <c r="J23" s="4">
        <v>4</v>
      </c>
      <c r="K23" s="4"/>
      <c r="L23" s="4"/>
      <c r="M23">
        <f t="shared" si="1"/>
        <v>70.03</v>
      </c>
      <c r="O23" s="9">
        <f t="shared" si="6"/>
        <v>1.3553146097140765</v>
      </c>
      <c r="P23" s="9">
        <f t="shared" si="2"/>
        <v>1.2197831487426689</v>
      </c>
      <c r="R23">
        <f t="shared" si="3"/>
        <v>0.9</v>
      </c>
      <c r="T23">
        <f t="shared" si="4"/>
        <v>5.7295327871113591E-2</v>
      </c>
    </row>
    <row r="24" spans="2:20" x14ac:dyDescent="0.25">
      <c r="B24" s="5">
        <v>261</v>
      </c>
      <c r="C24" s="5" t="str">
        <f t="shared" si="5"/>
        <v>තෙලකීරිය</v>
      </c>
      <c r="D24" s="58" t="str">
        <f t="shared" si="0"/>
        <v>Excoecaria agallocha</v>
      </c>
      <c r="E24" s="5">
        <v>31</v>
      </c>
      <c r="F24" s="5">
        <v>2.5</v>
      </c>
      <c r="G24" s="5" t="s">
        <v>12</v>
      </c>
      <c r="H24" s="5"/>
      <c r="I24" s="5"/>
      <c r="J24" s="5">
        <v>4</v>
      </c>
      <c r="K24" s="5"/>
      <c r="L24" s="5"/>
      <c r="M24">
        <f t="shared" si="1"/>
        <v>98.68</v>
      </c>
      <c r="O24" s="9">
        <f t="shared" si="6"/>
        <v>2.2763724717594438</v>
      </c>
      <c r="P24" s="9">
        <f t="shared" si="2"/>
        <v>2.0487352245834995</v>
      </c>
      <c r="R24">
        <f t="shared" si="3"/>
        <v>0.9</v>
      </c>
      <c r="T24">
        <f t="shared" si="4"/>
        <v>5.7295327871113591E-2</v>
      </c>
    </row>
    <row r="25" spans="2:20" x14ac:dyDescent="0.25">
      <c r="B25" s="4">
        <v>262</v>
      </c>
      <c r="C25" s="4" t="str">
        <f t="shared" si="5"/>
        <v>මණ්ඩ</v>
      </c>
      <c r="D25" s="57" t="str">
        <f t="shared" si="0"/>
        <v>Avicenia marina</v>
      </c>
      <c r="E25" s="4">
        <v>20.5</v>
      </c>
      <c r="F25" s="4">
        <v>3.5</v>
      </c>
      <c r="G25" s="4" t="s">
        <v>13</v>
      </c>
      <c r="H25" s="4"/>
      <c r="I25" s="4"/>
      <c r="J25" s="4">
        <v>2</v>
      </c>
      <c r="K25" s="4"/>
      <c r="L25" s="4"/>
      <c r="M25">
        <f t="shared" si="1"/>
        <v>65.25</v>
      </c>
      <c r="O25" s="9">
        <f t="shared" si="6"/>
        <v>2.6760599897955579</v>
      </c>
      <c r="P25" s="9">
        <f t="shared" si="2"/>
        <v>2.6760599897955579</v>
      </c>
      <c r="R25">
        <f t="shared" si="3"/>
        <v>1</v>
      </c>
      <c r="T25">
        <f t="shared" si="4"/>
        <v>2.6928804099415458</v>
      </c>
    </row>
    <row r="26" spans="2:20" x14ac:dyDescent="0.25">
      <c r="B26" s="5">
        <v>263</v>
      </c>
      <c r="C26" s="5" t="str">
        <f t="shared" si="5"/>
        <v>බේරිය</v>
      </c>
      <c r="D26" s="58" t="str">
        <f t="shared" si="0"/>
        <v>Lumitzera racemosa</v>
      </c>
      <c r="E26" s="5">
        <v>23</v>
      </c>
      <c r="F26" s="5">
        <v>2.5</v>
      </c>
      <c r="G26" s="5" t="s">
        <v>12</v>
      </c>
      <c r="H26" s="5"/>
      <c r="I26" s="5"/>
      <c r="J26" s="5">
        <v>1</v>
      </c>
      <c r="K26" s="5"/>
      <c r="L26" s="5"/>
      <c r="M26">
        <f t="shared" si="1"/>
        <v>73.209999999999994</v>
      </c>
      <c r="O26" s="9">
        <f t="shared" si="6"/>
        <v>2.59563168370223</v>
      </c>
      <c r="P26" s="9">
        <f t="shared" si="2"/>
        <v>2.3360685153320069</v>
      </c>
      <c r="R26">
        <f t="shared" si="3"/>
        <v>0.9</v>
      </c>
      <c r="T26">
        <f t="shared" si="4"/>
        <v>5.7295327871113591E-2</v>
      </c>
    </row>
    <row r="27" spans="2:20" x14ac:dyDescent="0.25">
      <c r="B27" s="4">
        <v>264</v>
      </c>
      <c r="C27" s="4" t="str">
        <f t="shared" si="5"/>
        <v>බේරිය</v>
      </c>
      <c r="D27" s="57" t="str">
        <f t="shared" si="0"/>
        <v>Lumitzera racemosa</v>
      </c>
      <c r="E27" s="4">
        <v>16</v>
      </c>
      <c r="F27" s="4">
        <v>1.5</v>
      </c>
      <c r="G27" s="4" t="s">
        <v>12</v>
      </c>
      <c r="H27" s="4"/>
      <c r="I27" s="4"/>
      <c r="J27" s="4">
        <v>1</v>
      </c>
      <c r="K27" s="4"/>
      <c r="L27" s="4"/>
      <c r="M27">
        <f t="shared" si="1"/>
        <v>50.93</v>
      </c>
      <c r="O27" s="9">
        <f t="shared" si="6"/>
        <v>1.1659260528516993</v>
      </c>
      <c r="P27" s="9">
        <f t="shared" si="2"/>
        <v>1.0493334475665295</v>
      </c>
      <c r="R27">
        <f t="shared" si="3"/>
        <v>0.9</v>
      </c>
      <c r="T27">
        <f t="shared" si="4"/>
        <v>5.7295327871113591E-2</v>
      </c>
    </row>
    <row r="28" spans="2:20" x14ac:dyDescent="0.25">
      <c r="B28" s="5">
        <v>265</v>
      </c>
      <c r="C28" s="5" t="str">
        <f t="shared" si="5"/>
        <v>බේරිය</v>
      </c>
      <c r="D28" s="58" t="str">
        <f t="shared" si="0"/>
        <v>Lumitzera racemosa</v>
      </c>
      <c r="E28" s="5">
        <v>30</v>
      </c>
      <c r="F28" s="5">
        <v>2.5</v>
      </c>
      <c r="G28" s="5" t="s">
        <v>14</v>
      </c>
      <c r="H28" s="5"/>
      <c r="I28" s="5"/>
      <c r="J28" s="5">
        <v>1</v>
      </c>
      <c r="K28" s="5"/>
      <c r="L28" s="5"/>
      <c r="M28">
        <f t="shared" si="1"/>
        <v>95.49</v>
      </c>
      <c r="O28" s="9">
        <f t="shared" si="6"/>
        <v>3.3108385582388102</v>
      </c>
      <c r="P28" s="9">
        <f t="shared" si="2"/>
        <v>2.4831289186791077</v>
      </c>
      <c r="R28">
        <f t="shared" si="3"/>
        <v>0.75</v>
      </c>
      <c r="T28">
        <f t="shared" si="4"/>
        <v>-3.8960822952345362</v>
      </c>
    </row>
    <row r="29" spans="2:20" x14ac:dyDescent="0.25">
      <c r="B29" s="4">
        <v>266</v>
      </c>
      <c r="C29" s="4" t="str">
        <f t="shared" si="5"/>
        <v>බේරිය</v>
      </c>
      <c r="D29" s="57" t="str">
        <f t="shared" si="0"/>
        <v>Lumitzera racemosa</v>
      </c>
      <c r="E29" s="4">
        <v>31</v>
      </c>
      <c r="F29" s="4">
        <v>2.5</v>
      </c>
      <c r="G29" s="4" t="s">
        <v>12</v>
      </c>
      <c r="H29" s="4"/>
      <c r="I29" s="4"/>
      <c r="J29" s="4">
        <v>1</v>
      </c>
      <c r="K29" s="4"/>
      <c r="L29" s="4"/>
      <c r="M29">
        <f t="shared" si="1"/>
        <v>98.68</v>
      </c>
      <c r="O29" s="9">
        <f t="shared" si="6"/>
        <v>3.4120113491775101</v>
      </c>
      <c r="P29" s="9">
        <f t="shared" si="2"/>
        <v>3.0708102142597591</v>
      </c>
      <c r="R29">
        <f t="shared" si="3"/>
        <v>0.9</v>
      </c>
      <c r="T29">
        <f t="shared" si="4"/>
        <v>5.7295327871113591E-2</v>
      </c>
    </row>
    <row r="30" spans="2:20" x14ac:dyDescent="0.25">
      <c r="B30" s="5">
        <v>267</v>
      </c>
      <c r="C30" s="5" t="str">
        <f t="shared" si="5"/>
        <v>බේරිය</v>
      </c>
      <c r="D30" s="58" t="str">
        <f t="shared" si="0"/>
        <v>Lumitzera racemosa</v>
      </c>
      <c r="E30" s="5">
        <v>27</v>
      </c>
      <c r="F30" s="5">
        <v>2</v>
      </c>
      <c r="G30" s="5" t="s">
        <v>12</v>
      </c>
      <c r="H30" s="5"/>
      <c r="I30" s="5"/>
      <c r="J30" s="5">
        <v>1</v>
      </c>
      <c r="K30" s="5"/>
      <c r="L30" s="5"/>
      <c r="M30">
        <f t="shared" si="1"/>
        <v>85.94</v>
      </c>
      <c r="O30" s="9">
        <f t="shared" si="6"/>
        <v>2.4504731154923647</v>
      </c>
      <c r="P30" s="9">
        <f t="shared" si="2"/>
        <v>2.2054258039431285</v>
      </c>
      <c r="R30">
        <f t="shared" si="3"/>
        <v>0.9</v>
      </c>
      <c r="T30">
        <f t="shared" si="4"/>
        <v>5.7295327871113591E-2</v>
      </c>
    </row>
    <row r="31" spans="2:20" x14ac:dyDescent="0.25">
      <c r="B31" s="4">
        <v>268</v>
      </c>
      <c r="C31" s="4" t="str">
        <f t="shared" si="5"/>
        <v>බේරිය</v>
      </c>
      <c r="D31" s="57" t="str">
        <f t="shared" si="0"/>
        <v>Lumitzera racemosa</v>
      </c>
      <c r="E31" s="4">
        <v>20</v>
      </c>
      <c r="F31" s="4">
        <v>2</v>
      </c>
      <c r="G31" s="4" t="s">
        <v>12</v>
      </c>
      <c r="H31" s="4"/>
      <c r="I31" s="4"/>
      <c r="J31" s="4">
        <v>1</v>
      </c>
      <c r="K31" s="4"/>
      <c r="L31" s="4"/>
      <c r="M31">
        <f t="shared" si="1"/>
        <v>63.66</v>
      </c>
      <c r="O31" s="9">
        <f t="shared" si="6"/>
        <v>1.861524854541091</v>
      </c>
      <c r="P31" s="9">
        <f t="shared" si="2"/>
        <v>1.6753723690869819</v>
      </c>
      <c r="R31">
        <f t="shared" si="3"/>
        <v>0.9</v>
      </c>
      <c r="T31">
        <f t="shared" si="4"/>
        <v>5.7295327871113591E-2</v>
      </c>
    </row>
    <row r="32" spans="2:20" x14ac:dyDescent="0.25">
      <c r="B32" s="5">
        <v>269</v>
      </c>
      <c r="C32" s="5" t="str">
        <f t="shared" si="5"/>
        <v>මණ්ඩ</v>
      </c>
      <c r="D32" s="58" t="str">
        <f t="shared" si="0"/>
        <v>Avicenia marina</v>
      </c>
      <c r="E32" s="5">
        <v>16</v>
      </c>
      <c r="F32" s="5">
        <v>4</v>
      </c>
      <c r="G32" s="5" t="s">
        <v>12</v>
      </c>
      <c r="H32" s="5"/>
      <c r="I32" s="5"/>
      <c r="J32" s="5">
        <v>2</v>
      </c>
      <c r="K32" s="5"/>
      <c r="L32" s="5"/>
      <c r="M32">
        <f t="shared" si="1"/>
        <v>50.93</v>
      </c>
      <c r="O32" s="9">
        <f t="shared" si="6"/>
        <v>2.4101751425266293</v>
      </c>
      <c r="P32" s="9">
        <f t="shared" si="2"/>
        <v>2.1691576282739664</v>
      </c>
      <c r="R32">
        <f t="shared" si="3"/>
        <v>0.9</v>
      </c>
      <c r="T32">
        <f t="shared" si="4"/>
        <v>5.7295327871113591E-2</v>
      </c>
    </row>
    <row r="33" spans="2:20" x14ac:dyDescent="0.25">
      <c r="B33" s="4">
        <v>270</v>
      </c>
      <c r="C33" s="4" t="str">
        <f t="shared" si="5"/>
        <v>හීන් කඩොල්/ ඇවරි කඩොල්</v>
      </c>
      <c r="D33" s="57" t="str">
        <f t="shared" si="0"/>
        <v>Aegiceras corniculatum</v>
      </c>
      <c r="E33" s="4">
        <v>50</v>
      </c>
      <c r="F33" s="4"/>
      <c r="G33" s="4" t="s">
        <v>12</v>
      </c>
      <c r="H33" s="4"/>
      <c r="I33" s="4"/>
      <c r="J33" s="4"/>
      <c r="K33" s="4"/>
      <c r="L33" s="4"/>
      <c r="M33">
        <f t="shared" si="1"/>
        <v>159.15</v>
      </c>
      <c r="O33" s="9">
        <f>0.251*(IF(J33=1,0.7,IF(J33=2,0.58,IF(J33=3,0.62,IF(J33=4,0.45,0.55))))*M33/10*F32)^0.916</f>
        <v>6.5191020879046002</v>
      </c>
      <c r="P33" s="9">
        <f t="shared" si="2"/>
        <v>5.8671918791141406</v>
      </c>
      <c r="R33">
        <f t="shared" si="3"/>
        <v>0.9</v>
      </c>
      <c r="T33">
        <f t="shared" si="4"/>
        <v>5.7295327871113591E-2</v>
      </c>
    </row>
    <row r="34" spans="2:20" x14ac:dyDescent="0.25">
      <c r="B34" s="5">
        <v>271</v>
      </c>
      <c r="C34" s="5" t="str">
        <f t="shared" si="5"/>
        <v>බේරිය</v>
      </c>
      <c r="D34" s="58" t="str">
        <f t="shared" si="0"/>
        <v>Lumitzera racemosa</v>
      </c>
      <c r="E34" s="5">
        <v>21</v>
      </c>
      <c r="F34" s="5">
        <v>2</v>
      </c>
      <c r="G34" s="5" t="s">
        <v>12</v>
      </c>
      <c r="H34" s="5"/>
      <c r="I34" s="5"/>
      <c r="J34" s="5">
        <v>1</v>
      </c>
      <c r="K34" s="5"/>
      <c r="L34" s="5"/>
      <c r="M34">
        <f t="shared" si="1"/>
        <v>66.849999999999994</v>
      </c>
      <c r="O34" s="9">
        <f t="shared" si="6"/>
        <v>1.9467935342691685</v>
      </c>
      <c r="P34" s="9">
        <f t="shared" si="2"/>
        <v>1.7521141808422516</v>
      </c>
      <c r="R34">
        <f t="shared" si="3"/>
        <v>0.9</v>
      </c>
      <c r="T34">
        <f t="shared" si="4"/>
        <v>5.7295327871113591E-2</v>
      </c>
    </row>
    <row r="35" spans="2:20" x14ac:dyDescent="0.25">
      <c r="B35" s="5">
        <v>272</v>
      </c>
      <c r="C35" s="5"/>
      <c r="D35" s="58"/>
      <c r="E35" s="5">
        <v>16</v>
      </c>
      <c r="F35" s="5"/>
      <c r="G35" s="5" t="s">
        <v>12</v>
      </c>
      <c r="H35" s="5"/>
      <c r="I35" s="5"/>
      <c r="J35" s="5"/>
      <c r="K35" s="5"/>
      <c r="L35" s="5"/>
      <c r="M35">
        <f t="shared" si="1"/>
        <v>50.93</v>
      </c>
      <c r="O35" s="9">
        <f>0.251*(IF(J35=1,0.7,IF(J35=2,0.58,IF(J35=3,0.62,IF(J35=4,0.45,0.55))))*M35/10*F34)^0.916</f>
        <v>1.2166826316314581</v>
      </c>
      <c r="P35" s="9">
        <f t="shared" si="2"/>
        <v>1.0950143684683122</v>
      </c>
      <c r="R35">
        <f t="shared" si="3"/>
        <v>0.9</v>
      </c>
      <c r="T35">
        <f t="shared" si="4"/>
        <v>5.7295327871113591E-2</v>
      </c>
    </row>
    <row r="36" spans="2:20" x14ac:dyDescent="0.25">
      <c r="B36" s="5">
        <v>273</v>
      </c>
      <c r="C36" s="5"/>
      <c r="D36" s="58"/>
      <c r="E36" s="5">
        <v>18</v>
      </c>
      <c r="F36" s="5"/>
      <c r="G36" s="5" t="s">
        <v>12</v>
      </c>
      <c r="H36" s="5"/>
      <c r="I36" s="5"/>
      <c r="J36" s="5"/>
      <c r="K36" s="5"/>
      <c r="L36" s="5"/>
      <c r="M36">
        <f t="shared" si="1"/>
        <v>57.3</v>
      </c>
      <c r="O36" s="9">
        <f>0.251*(IF(J36=1,0.7,IF(J36=2,0.58,IF(J36=3,0.62,IF(J36=4,0.45,0.55))))*M36/10*F34)^0.916</f>
        <v>1.355373701803213</v>
      </c>
      <c r="P36" s="9">
        <f t="shared" si="2"/>
        <v>1.2198363316228917</v>
      </c>
      <c r="R36">
        <f t="shared" si="3"/>
        <v>0.9</v>
      </c>
      <c r="T36">
        <f t="shared" si="4"/>
        <v>5.7295327871113591E-2</v>
      </c>
    </row>
    <row r="37" spans="2:20" x14ac:dyDescent="0.25">
      <c r="B37" s="4">
        <v>274</v>
      </c>
      <c r="C37" s="4" t="str">
        <f t="shared" si="5"/>
        <v>තෙලකීරිය</v>
      </c>
      <c r="D37" s="57" t="str">
        <f t="shared" si="0"/>
        <v>Excoecaria agallocha</v>
      </c>
      <c r="E37" s="4">
        <v>17</v>
      </c>
      <c r="F37" s="4">
        <v>2</v>
      </c>
      <c r="G37" s="4" t="s">
        <v>12</v>
      </c>
      <c r="H37" s="4"/>
      <c r="I37" s="4"/>
      <c r="J37" s="4">
        <v>4</v>
      </c>
      <c r="K37" s="4"/>
      <c r="L37" s="4"/>
      <c r="M37">
        <f t="shared" si="1"/>
        <v>54.11</v>
      </c>
      <c r="O37" s="9">
        <f t="shared" si="6"/>
        <v>1.0701436558868183</v>
      </c>
      <c r="P37" s="9">
        <f t="shared" si="2"/>
        <v>0.96312929029813643</v>
      </c>
      <c r="R37">
        <f t="shared" si="3"/>
        <v>0.9</v>
      </c>
      <c r="T37">
        <f t="shared" si="4"/>
        <v>5.7295327871113591E-2</v>
      </c>
    </row>
    <row r="38" spans="2:20" x14ac:dyDescent="0.25">
      <c r="B38" s="5">
        <v>275</v>
      </c>
      <c r="C38" s="5" t="str">
        <f t="shared" si="5"/>
        <v>බේරිය</v>
      </c>
      <c r="D38" s="58" t="str">
        <f t="shared" si="0"/>
        <v>Lumitzera racemosa</v>
      </c>
      <c r="E38" s="5">
        <v>25</v>
      </c>
      <c r="F38" s="5">
        <v>2.5</v>
      </c>
      <c r="G38" s="5" t="s">
        <v>12</v>
      </c>
      <c r="H38" s="5"/>
      <c r="I38" s="5"/>
      <c r="J38" s="5">
        <v>1</v>
      </c>
      <c r="K38" s="5"/>
      <c r="L38" s="5"/>
      <c r="M38">
        <f t="shared" si="1"/>
        <v>79.58</v>
      </c>
      <c r="O38" s="9">
        <f t="shared" si="6"/>
        <v>2.8017732101989226</v>
      </c>
      <c r="P38" s="9">
        <f t="shared" si="2"/>
        <v>2.5215958891790304</v>
      </c>
      <c r="R38">
        <f t="shared" si="3"/>
        <v>0.9</v>
      </c>
      <c r="T38">
        <f t="shared" si="4"/>
        <v>5.7295327871113591E-2</v>
      </c>
    </row>
    <row r="39" spans="2:20" x14ac:dyDescent="0.25">
      <c r="B39" s="4">
        <v>276</v>
      </c>
      <c r="C39" s="4" t="str">
        <f t="shared" si="5"/>
        <v>මණ්ඩ</v>
      </c>
      <c r="D39" s="57" t="str">
        <f t="shared" si="0"/>
        <v>Avicenia marina</v>
      </c>
      <c r="E39" s="4">
        <v>16</v>
      </c>
      <c r="F39" s="4">
        <v>2.5</v>
      </c>
      <c r="G39" s="4" t="s">
        <v>12</v>
      </c>
      <c r="H39" s="4"/>
      <c r="I39" s="4"/>
      <c r="J39" s="4">
        <v>2</v>
      </c>
      <c r="K39" s="4"/>
      <c r="L39" s="4"/>
      <c r="M39">
        <f t="shared" si="1"/>
        <v>50.93</v>
      </c>
      <c r="O39" s="9">
        <f t="shared" si="6"/>
        <v>1.5670205753881681</v>
      </c>
      <c r="P39" s="9">
        <f t="shared" si="2"/>
        <v>1.4103185178493514</v>
      </c>
      <c r="R39">
        <f t="shared" si="3"/>
        <v>0.9</v>
      </c>
      <c r="T39">
        <f t="shared" si="4"/>
        <v>5.7295327871113591E-2</v>
      </c>
    </row>
    <row r="40" spans="2:20" x14ac:dyDescent="0.25">
      <c r="B40" s="5">
        <v>277</v>
      </c>
      <c r="C40" s="5" t="str">
        <f t="shared" si="5"/>
        <v>මණ්ඩ</v>
      </c>
      <c r="D40" s="58" t="str">
        <f t="shared" si="0"/>
        <v>Avicenia marina</v>
      </c>
      <c r="E40" s="5">
        <v>24</v>
      </c>
      <c r="F40" s="5">
        <v>4</v>
      </c>
      <c r="G40" s="5" t="s">
        <v>12</v>
      </c>
      <c r="H40" s="5"/>
      <c r="I40" s="5"/>
      <c r="J40" s="5">
        <v>2</v>
      </c>
      <c r="K40" s="5"/>
      <c r="L40" s="5"/>
      <c r="M40">
        <f t="shared" si="1"/>
        <v>76.39</v>
      </c>
      <c r="O40" s="9">
        <f t="shared" si="6"/>
        <v>3.4939940318871998</v>
      </c>
      <c r="P40" s="9">
        <f t="shared" si="2"/>
        <v>3.1445946286984801</v>
      </c>
      <c r="R40">
        <f t="shared" si="3"/>
        <v>0.9</v>
      </c>
      <c r="T40">
        <f t="shared" si="4"/>
        <v>5.7295327871113591E-2</v>
      </c>
    </row>
    <row r="41" spans="2:20" x14ac:dyDescent="0.25">
      <c r="B41" s="4">
        <v>278</v>
      </c>
      <c r="C41" s="4" t="str">
        <f t="shared" si="5"/>
        <v>මණ්ඩ</v>
      </c>
      <c r="D41" s="57" t="str">
        <f t="shared" si="0"/>
        <v>Avicenia marina</v>
      </c>
      <c r="E41" s="4">
        <v>23</v>
      </c>
      <c r="F41" s="4">
        <v>4</v>
      </c>
      <c r="G41" s="4" t="s">
        <v>13</v>
      </c>
      <c r="H41" s="4"/>
      <c r="I41" s="4"/>
      <c r="J41" s="4">
        <v>2</v>
      </c>
      <c r="K41" s="4"/>
      <c r="L41" s="4"/>
      <c r="M41">
        <f t="shared" si="1"/>
        <v>73.209999999999994</v>
      </c>
      <c r="O41" s="9">
        <f t="shared" si="6"/>
        <v>3.3605256013667724</v>
      </c>
      <c r="P41" s="9">
        <f t="shared" si="2"/>
        <v>3.3605256013667724</v>
      </c>
      <c r="R41">
        <f t="shared" si="3"/>
        <v>1</v>
      </c>
      <c r="T41">
        <f t="shared" si="4"/>
        <v>2.6928804099415458</v>
      </c>
    </row>
    <row r="42" spans="2:20" x14ac:dyDescent="0.25">
      <c r="B42" s="5">
        <v>279</v>
      </c>
      <c r="C42" s="5" t="str">
        <f t="shared" si="5"/>
        <v>බේරිය</v>
      </c>
      <c r="D42" s="58" t="str">
        <f t="shared" si="0"/>
        <v>Lumitzera racemosa</v>
      </c>
      <c r="E42" s="5">
        <v>16</v>
      </c>
      <c r="F42" s="5">
        <v>3</v>
      </c>
      <c r="G42" s="5" t="s">
        <v>12</v>
      </c>
      <c r="H42" s="5"/>
      <c r="I42" s="5"/>
      <c r="J42" s="5">
        <v>1</v>
      </c>
      <c r="K42" s="5"/>
      <c r="L42" s="5"/>
      <c r="M42">
        <f t="shared" si="1"/>
        <v>50.93</v>
      </c>
      <c r="O42" s="9">
        <f t="shared" si="6"/>
        <v>2.1999584719514775</v>
      </c>
      <c r="P42" s="9">
        <f t="shared" si="2"/>
        <v>1.9799626247563298</v>
      </c>
      <c r="R42">
        <f t="shared" si="3"/>
        <v>0.9</v>
      </c>
      <c r="T42">
        <f t="shared" si="4"/>
        <v>5.7295327871113591E-2</v>
      </c>
    </row>
    <row r="43" spans="2:20" x14ac:dyDescent="0.25">
      <c r="B43" s="4">
        <v>280</v>
      </c>
      <c r="C43" s="4" t="str">
        <f t="shared" si="5"/>
        <v>බේරිය</v>
      </c>
      <c r="D43" s="57" t="str">
        <f t="shared" si="0"/>
        <v>Lumitzera racemosa</v>
      </c>
      <c r="E43" s="4">
        <v>28</v>
      </c>
      <c r="F43" s="4">
        <v>2.5</v>
      </c>
      <c r="G43" s="4" t="s">
        <v>12</v>
      </c>
      <c r="H43" s="4"/>
      <c r="I43" s="4"/>
      <c r="J43" s="4">
        <v>1</v>
      </c>
      <c r="K43" s="4"/>
      <c r="L43" s="4"/>
      <c r="M43">
        <f t="shared" si="1"/>
        <v>89.13</v>
      </c>
      <c r="O43" s="9">
        <f t="shared" si="6"/>
        <v>3.1082681082313774</v>
      </c>
      <c r="P43" s="9">
        <f t="shared" si="2"/>
        <v>2.7974412974082399</v>
      </c>
      <c r="R43">
        <f t="shared" si="3"/>
        <v>0.9</v>
      </c>
      <c r="T43">
        <f t="shared" si="4"/>
        <v>5.7295327871113591E-2</v>
      </c>
    </row>
    <row r="44" spans="2:20" x14ac:dyDescent="0.25">
      <c r="B44" s="4">
        <v>281</v>
      </c>
      <c r="C44" s="4"/>
      <c r="D44" s="57"/>
      <c r="E44" s="4">
        <v>22</v>
      </c>
      <c r="F44" s="4"/>
      <c r="G44" s="4" t="s">
        <v>12</v>
      </c>
      <c r="H44" s="4"/>
      <c r="I44" s="4"/>
      <c r="J44" s="4"/>
      <c r="K44" s="4"/>
      <c r="L44" s="4"/>
      <c r="M44">
        <f t="shared" si="1"/>
        <v>70.03</v>
      </c>
      <c r="O44" s="9">
        <f>0.251*(IF(J44=1,0.7,IF(J44=2,0.58,IF(J44=3,0.62,IF(J44=4,0.45,0.55))))*M44/10*F43)^0.916</f>
        <v>1.9982013715694671</v>
      </c>
      <c r="P44" s="9">
        <f t="shared" si="2"/>
        <v>1.7983812344125205</v>
      </c>
      <c r="R44">
        <f t="shared" si="3"/>
        <v>0.9</v>
      </c>
      <c r="T44">
        <f t="shared" si="4"/>
        <v>5.7295327871113591E-2</v>
      </c>
    </row>
    <row r="45" spans="2:20" x14ac:dyDescent="0.25">
      <c r="B45" s="4">
        <v>282</v>
      </c>
      <c r="C45" s="4"/>
      <c r="D45" s="57"/>
      <c r="E45" s="4">
        <v>26</v>
      </c>
      <c r="F45" s="4"/>
      <c r="G45" s="4" t="s">
        <v>12</v>
      </c>
      <c r="H45" s="4"/>
      <c r="I45" s="4"/>
      <c r="J45" s="4"/>
      <c r="K45" s="4"/>
      <c r="L45" s="4"/>
      <c r="M45">
        <f t="shared" si="1"/>
        <v>82.76</v>
      </c>
      <c r="O45" s="9">
        <f>0.251*(IF(J45=1,0.7,IF(J45=2,0.58,IF(J45=3,0.62,IF(J45=4,0.45,0.55))))*M45/10*F43)^0.916</f>
        <v>2.3285338437524281</v>
      </c>
      <c r="P45" s="9">
        <f t="shared" si="2"/>
        <v>2.0956804593771854</v>
      </c>
      <c r="R45">
        <f t="shared" si="3"/>
        <v>0.9</v>
      </c>
      <c r="T45">
        <f t="shared" si="4"/>
        <v>5.7295327871113591E-2</v>
      </c>
    </row>
    <row r="46" spans="2:20" x14ac:dyDescent="0.25">
      <c r="B46" s="5">
        <v>283</v>
      </c>
      <c r="C46" s="5" t="str">
        <f t="shared" si="5"/>
        <v>බේරිය</v>
      </c>
      <c r="D46" s="58" t="str">
        <f t="shared" si="0"/>
        <v>Lumitzera racemosa</v>
      </c>
      <c r="E46" s="5">
        <v>19</v>
      </c>
      <c r="F46" s="5">
        <v>2</v>
      </c>
      <c r="G46" s="5" t="s">
        <v>12</v>
      </c>
      <c r="H46" s="5"/>
      <c r="I46" s="5"/>
      <c r="J46" s="5">
        <v>1</v>
      </c>
      <c r="K46" s="5"/>
      <c r="L46" s="5"/>
      <c r="M46">
        <f t="shared" si="1"/>
        <v>60.48</v>
      </c>
      <c r="O46" s="9">
        <f t="shared" si="6"/>
        <v>1.7761653560257</v>
      </c>
      <c r="P46" s="9">
        <f t="shared" si="2"/>
        <v>1.59854882042313</v>
      </c>
      <c r="R46">
        <f t="shared" si="3"/>
        <v>0.9</v>
      </c>
      <c r="T46">
        <f t="shared" si="4"/>
        <v>5.7295327871113591E-2</v>
      </c>
    </row>
    <row r="47" spans="2:20" x14ac:dyDescent="0.25">
      <c r="B47" s="5">
        <v>284</v>
      </c>
      <c r="C47" s="5"/>
      <c r="D47" s="58"/>
      <c r="E47" s="5">
        <v>17</v>
      </c>
      <c r="F47" s="5"/>
      <c r="G47" s="5" t="s">
        <v>12</v>
      </c>
      <c r="H47" s="5"/>
      <c r="I47" s="5"/>
      <c r="J47" s="5"/>
      <c r="K47" s="5"/>
      <c r="L47" s="5"/>
      <c r="M47">
        <f t="shared" si="1"/>
        <v>54.11</v>
      </c>
      <c r="O47" s="9">
        <f>0.251*(IF(J47=1,0.7,IF(J47=2,0.58,IF(J47=3,0.62,IF(J47=4,0.45,0.55))))*M47/10*F46)^0.916</f>
        <v>1.2860908314947319</v>
      </c>
      <c r="P47" s="9">
        <f t="shared" si="2"/>
        <v>1.1574817483452589</v>
      </c>
      <c r="R47">
        <f t="shared" si="3"/>
        <v>0.9</v>
      </c>
      <c r="T47">
        <f t="shared" si="4"/>
        <v>5.7295327871113591E-2</v>
      </c>
    </row>
    <row r="48" spans="2:20" x14ac:dyDescent="0.25">
      <c r="B48" s="4">
        <v>285</v>
      </c>
      <c r="C48" s="4" t="str">
        <f t="shared" si="5"/>
        <v>බේරිය</v>
      </c>
      <c r="D48" s="57" t="str">
        <f t="shared" si="0"/>
        <v>Lumitzera racemosa</v>
      </c>
      <c r="E48" s="4">
        <v>18</v>
      </c>
      <c r="F48" s="4">
        <v>2.5</v>
      </c>
      <c r="G48" s="4" t="s">
        <v>12</v>
      </c>
      <c r="H48" s="4"/>
      <c r="I48" s="4"/>
      <c r="J48" s="4">
        <v>1</v>
      </c>
      <c r="K48" s="4"/>
      <c r="L48" s="4"/>
      <c r="M48">
        <f t="shared" si="1"/>
        <v>57.3</v>
      </c>
      <c r="O48" s="9">
        <f t="shared" si="6"/>
        <v>2.0737968372543105</v>
      </c>
      <c r="P48" s="9">
        <f t="shared" si="2"/>
        <v>1.8664171535288796</v>
      </c>
      <c r="R48">
        <f t="shared" si="3"/>
        <v>0.9</v>
      </c>
      <c r="T48">
        <f t="shared" si="4"/>
        <v>5.7295327871113591E-2</v>
      </c>
    </row>
    <row r="49" spans="2:20" x14ac:dyDescent="0.25">
      <c r="B49" s="5">
        <v>286</v>
      </c>
      <c r="C49" s="5" t="str">
        <f t="shared" si="5"/>
        <v>බේරිය</v>
      </c>
      <c r="D49" s="58" t="str">
        <f t="shared" si="0"/>
        <v>Lumitzera racemosa</v>
      </c>
      <c r="E49" s="5">
        <v>17</v>
      </c>
      <c r="F49" s="5">
        <v>2.5</v>
      </c>
      <c r="G49" s="5" t="s">
        <v>12</v>
      </c>
      <c r="H49" s="5"/>
      <c r="I49" s="5"/>
      <c r="J49" s="5">
        <v>1</v>
      </c>
      <c r="K49" s="5"/>
      <c r="L49" s="5"/>
      <c r="M49">
        <f t="shared" si="1"/>
        <v>54.11</v>
      </c>
      <c r="O49" s="9">
        <f t="shared" si="6"/>
        <v>1.9677902081375753</v>
      </c>
      <c r="P49" s="9">
        <f t="shared" si="2"/>
        <v>1.7710111873238179</v>
      </c>
      <c r="R49">
        <f t="shared" si="3"/>
        <v>0.9</v>
      </c>
      <c r="T49">
        <f t="shared" si="4"/>
        <v>5.7295327871113591E-2</v>
      </c>
    </row>
    <row r="51" spans="2:20" ht="60" x14ac:dyDescent="0.25">
      <c r="O51" s="22" t="s">
        <v>106</v>
      </c>
      <c r="P51" s="23">
        <f>SUM(P4:P49)</f>
        <v>98.03361567381215</v>
      </c>
      <c r="Q51" s="66" t="s">
        <v>169</v>
      </c>
      <c r="R51">
        <f>AVERAGE(R4:R49)</f>
        <v>0.89782608695652111</v>
      </c>
    </row>
    <row r="52" spans="2:20" x14ac:dyDescent="0.25">
      <c r="Q52" t="s">
        <v>170</v>
      </c>
      <c r="R52">
        <f>STDEV(R4:R49)</f>
        <v>3.7942239345748287E-2</v>
      </c>
    </row>
    <row r="54" spans="2:20" x14ac:dyDescent="0.25">
      <c r="O54" s="21" t="s">
        <v>97</v>
      </c>
      <c r="P54" s="21"/>
      <c r="Q54" s="21"/>
      <c r="R54" s="21"/>
    </row>
    <row r="55" spans="2:20" x14ac:dyDescent="0.25">
      <c r="D55" t="s">
        <v>34</v>
      </c>
      <c r="O55" s="21" t="s">
        <v>107</v>
      </c>
      <c r="P55" s="21">
        <f>1.24*P51</f>
        <v>121.56168343552706</v>
      </c>
      <c r="Q55" s="21"/>
      <c r="R55" s="21"/>
    </row>
    <row r="56" spans="2:20" x14ac:dyDescent="0.25">
      <c r="D56" t="s">
        <v>33</v>
      </c>
      <c r="O56" s="21"/>
      <c r="P56" s="21"/>
      <c r="Q56" s="21"/>
      <c r="R56" s="21"/>
    </row>
    <row r="57" spans="2:20" x14ac:dyDescent="0.25">
      <c r="O57" s="21"/>
      <c r="P57" s="21"/>
      <c r="Q57" s="21"/>
      <c r="R57" s="21"/>
    </row>
    <row r="58" spans="2:20" x14ac:dyDescent="0.25">
      <c r="O58" s="21" t="s">
        <v>109</v>
      </c>
      <c r="P58" s="21"/>
      <c r="Q58" s="21"/>
      <c r="R58" s="21"/>
    </row>
    <row r="59" spans="2:20" ht="30" x14ac:dyDescent="0.25">
      <c r="O59" s="26" t="s">
        <v>108</v>
      </c>
      <c r="P59" s="21">
        <f>1.2*P55</f>
        <v>145.87402012263246</v>
      </c>
      <c r="Q59" s="21"/>
      <c r="R59" s="21"/>
    </row>
    <row r="60" spans="2:20" x14ac:dyDescent="0.25">
      <c r="O60" s="21"/>
      <c r="P60" s="21"/>
      <c r="Q60" s="21"/>
      <c r="R60" s="21"/>
    </row>
    <row r="62" spans="2:20" ht="30" x14ac:dyDescent="0.25">
      <c r="O62" s="49" t="s">
        <v>135</v>
      </c>
      <c r="P62" s="44" t="s">
        <v>136</v>
      </c>
    </row>
    <row r="63" spans="2:20" ht="30" x14ac:dyDescent="0.25">
      <c r="O63" s="46" t="s">
        <v>138</v>
      </c>
      <c r="P63" s="45">
        <f>1.83*P55</f>
        <v>222.45788068701452</v>
      </c>
    </row>
  </sheetData>
  <mergeCells count="2">
    <mergeCell ref="A1:L1"/>
    <mergeCell ref="A2:L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1"/>
  <sheetViews>
    <sheetView zoomScale="40" zoomScaleNormal="40" workbookViewId="0">
      <selection activeCell="AE11" sqref="AE11"/>
    </sheetView>
  </sheetViews>
  <sheetFormatPr defaultRowHeight="15" x14ac:dyDescent="0.25"/>
  <cols>
    <col min="3" max="3" width="18.42578125" customWidth="1"/>
    <col min="4" max="4" width="19.85546875" customWidth="1"/>
    <col min="5" max="5" width="12.140625" customWidth="1"/>
    <col min="6" max="6" width="14.5703125" customWidth="1"/>
    <col min="7" max="7" width="20.140625" customWidth="1"/>
    <col min="8" max="8" width="16.85546875" customWidth="1"/>
    <col min="11" max="11" width="14.28515625" customWidth="1"/>
    <col min="12" max="12" width="12.85546875" customWidth="1"/>
    <col min="15" max="15" width="18.140625" customWidth="1"/>
    <col min="16" max="16" width="17" customWidth="1"/>
    <col min="17" max="17" width="14.85546875" customWidth="1"/>
    <col min="20" max="20" width="12.8554687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60"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66" t="s">
        <v>168</v>
      </c>
      <c r="T3" s="66" t="s">
        <v>171</v>
      </c>
    </row>
    <row r="4" spans="1:20" x14ac:dyDescent="0.25">
      <c r="A4">
        <v>8</v>
      </c>
      <c r="B4">
        <v>287</v>
      </c>
      <c r="C4" t="str">
        <f>IF(J4=1,"බේරිය",IF(J4=2,"මණ්ඩ",IF(J4=3,"කඩොල්",IF(J4=4,"තෙලකීරිය","හීන් කඩොල්/ ඇවරි කඩොල්"))))</f>
        <v>බේරිය</v>
      </c>
      <c r="D4" s="35" t="str">
        <f t="shared" ref="D4:D27" si="0">IF(J4=1,"Lumitzera racemosa",IF(J4=2,"Avicenia marina",IF(J4=3,"Rhizophora spp.",IF(J4=4,"Excoecaria agallocha","Aegiceras corniculatum"))))</f>
        <v>Lumitzera racemosa</v>
      </c>
      <c r="E4">
        <v>10.74</v>
      </c>
      <c r="F4">
        <v>0.69</v>
      </c>
      <c r="G4" t="s">
        <v>13</v>
      </c>
      <c r="J4">
        <v>1</v>
      </c>
      <c r="K4">
        <v>4</v>
      </c>
      <c r="L4">
        <v>9</v>
      </c>
      <c r="O4" s="9">
        <f>0.251*(IF(J4=1,0.7,IF(J4=2,0.58,IF(J4=3,0.62,IF(J4=4,0.45,0.55))))*E4/10*F4)^0.916</f>
        <v>0.13758440657188092</v>
      </c>
      <c r="P4" s="9">
        <f>O4*IF(G4="A",1,IF(G4="B",0.9,IF(G4="C",0.75,0.5)))</f>
        <v>0.13758440657188092</v>
      </c>
      <c r="R4">
        <f>IF(G4="A",1,IF(G4="B",0.9,IF(G4="C",0.75,0.5)))</f>
        <v>1</v>
      </c>
      <c r="T4">
        <f>STANDARDIZE(R4,$R$29,$R$30)</f>
        <v>0.53356380425923955</v>
      </c>
    </row>
    <row r="5" spans="1:20" x14ac:dyDescent="0.25">
      <c r="B5">
        <v>288</v>
      </c>
      <c r="C5" t="str">
        <f t="shared" ref="C5:C27" si="1">IF(J5=1,"බේරිය",IF(J5=2,"මණ්ඩ",IF(J5=3,"කඩොල්",IF(J5=4,"තෙලකීරිය","හීන් කඩොල්/ ඇවරි කඩොල්"))))</f>
        <v>බේරිය</v>
      </c>
      <c r="D5" s="35" t="str">
        <f t="shared" si="0"/>
        <v>Lumitzera racemosa</v>
      </c>
      <c r="E5">
        <v>8.0399999999999991</v>
      </c>
      <c r="F5">
        <v>0.54</v>
      </c>
      <c r="G5" t="s">
        <v>13</v>
      </c>
      <c r="J5">
        <v>1</v>
      </c>
      <c r="K5">
        <v>9</v>
      </c>
      <c r="L5">
        <v>3</v>
      </c>
      <c r="O5" s="9">
        <f t="shared" ref="O5:O27" si="2">0.251*(IF(J5=1,0.7,IF(J5=2,0.58,IF(J5=3,0.62,IF(J5=4,0.45,0.55))))*E5/10*F5)^0.916</f>
        <v>8.4308381251517545E-2</v>
      </c>
      <c r="P5" s="9">
        <f t="shared" ref="P5:P27" si="3">O5*IF(G5="A",1,IF(G5="B",0.9,IF(G5="C",0.75,0.5)))</f>
        <v>8.4308381251517545E-2</v>
      </c>
      <c r="R5">
        <f t="shared" ref="R5:R27" si="4">IF(G5="A",1,IF(G5="B",0.9,IF(G5="C",0.75,0.5)))</f>
        <v>1</v>
      </c>
      <c r="T5">
        <f t="shared" ref="T5:T27" si="5">STANDARDIZE(R5,$R$29,$R$30)</f>
        <v>0.53356380425923955</v>
      </c>
    </row>
    <row r="6" spans="1:20" x14ac:dyDescent="0.25">
      <c r="B6">
        <v>289</v>
      </c>
      <c r="C6" t="str">
        <f t="shared" si="1"/>
        <v>බේරිය</v>
      </c>
      <c r="D6" s="35" t="str">
        <f t="shared" si="0"/>
        <v>Lumitzera racemosa</v>
      </c>
      <c r="E6">
        <v>10.56</v>
      </c>
      <c r="F6">
        <v>0.88</v>
      </c>
      <c r="G6" t="s">
        <v>13</v>
      </c>
      <c r="J6">
        <v>1</v>
      </c>
      <c r="K6">
        <v>8</v>
      </c>
      <c r="L6">
        <v>12</v>
      </c>
      <c r="O6" s="9">
        <f t="shared" si="2"/>
        <v>0.16928005945641506</v>
      </c>
      <c r="P6" s="9">
        <f t="shared" si="3"/>
        <v>0.16928005945641506</v>
      </c>
      <c r="R6">
        <f t="shared" si="4"/>
        <v>1</v>
      </c>
      <c r="T6">
        <f t="shared" si="5"/>
        <v>0.53356380425923955</v>
      </c>
    </row>
    <row r="7" spans="1:20" x14ac:dyDescent="0.25">
      <c r="B7">
        <v>290</v>
      </c>
      <c r="C7" t="str">
        <f t="shared" si="1"/>
        <v>තෙලකීරිය</v>
      </c>
      <c r="D7" s="35" t="str">
        <f t="shared" si="0"/>
        <v>Excoecaria agallocha</v>
      </c>
      <c r="E7">
        <v>8.86</v>
      </c>
      <c r="F7">
        <v>0.62</v>
      </c>
      <c r="G7" t="s">
        <v>13</v>
      </c>
      <c r="J7">
        <v>4</v>
      </c>
      <c r="K7">
        <v>2</v>
      </c>
      <c r="L7">
        <v>3</v>
      </c>
      <c r="O7" s="9">
        <f t="shared" si="2"/>
        <v>6.9774456281599548E-2</v>
      </c>
      <c r="P7" s="9">
        <f t="shared" si="3"/>
        <v>6.9774456281599548E-2</v>
      </c>
      <c r="R7">
        <f t="shared" si="4"/>
        <v>1</v>
      </c>
      <c r="T7">
        <f t="shared" si="5"/>
        <v>0.53356380425923955</v>
      </c>
    </row>
    <row r="8" spans="1:20" x14ac:dyDescent="0.25">
      <c r="B8">
        <v>291</v>
      </c>
      <c r="C8" t="str">
        <f t="shared" si="1"/>
        <v>මණ්ඩ</v>
      </c>
      <c r="D8" s="35" t="str">
        <f t="shared" si="0"/>
        <v>Avicenia marina</v>
      </c>
      <c r="E8">
        <v>12.32</v>
      </c>
      <c r="F8">
        <v>0.5</v>
      </c>
      <c r="G8" t="s">
        <v>13</v>
      </c>
      <c r="J8">
        <v>2</v>
      </c>
      <c r="K8">
        <v>1</v>
      </c>
      <c r="L8">
        <v>3</v>
      </c>
      <c r="O8" s="9">
        <f t="shared" si="2"/>
        <v>9.7775421297220527E-2</v>
      </c>
      <c r="P8" s="9">
        <f t="shared" si="3"/>
        <v>9.7775421297220527E-2</v>
      </c>
      <c r="R8">
        <f t="shared" si="4"/>
        <v>1</v>
      </c>
      <c r="T8">
        <f t="shared" si="5"/>
        <v>0.53356380425923955</v>
      </c>
    </row>
    <row r="9" spans="1:20" x14ac:dyDescent="0.25">
      <c r="B9">
        <v>292</v>
      </c>
      <c r="C9" t="str">
        <f t="shared" si="1"/>
        <v>බේරිය</v>
      </c>
      <c r="D9" s="35" t="str">
        <f t="shared" si="0"/>
        <v>Lumitzera racemosa</v>
      </c>
      <c r="E9">
        <v>13.73</v>
      </c>
      <c r="F9">
        <v>0.63</v>
      </c>
      <c r="G9" t="s">
        <v>13</v>
      </c>
      <c r="J9">
        <v>1</v>
      </c>
      <c r="K9">
        <v>4</v>
      </c>
      <c r="L9">
        <v>7</v>
      </c>
      <c r="O9" s="9">
        <f t="shared" si="2"/>
        <v>0.15852059053677303</v>
      </c>
      <c r="P9" s="9">
        <f t="shared" si="3"/>
        <v>0.15852059053677303</v>
      </c>
      <c r="R9">
        <f t="shared" si="4"/>
        <v>1</v>
      </c>
      <c r="T9">
        <f t="shared" si="5"/>
        <v>0.53356380425923955</v>
      </c>
    </row>
    <row r="10" spans="1:20" x14ac:dyDescent="0.25">
      <c r="B10">
        <v>293</v>
      </c>
      <c r="C10" t="str">
        <f t="shared" si="1"/>
        <v>තෙලකීරිය</v>
      </c>
      <c r="D10" s="35" t="str">
        <f t="shared" si="0"/>
        <v>Excoecaria agallocha</v>
      </c>
      <c r="E10">
        <v>34.96</v>
      </c>
      <c r="F10">
        <v>1.2</v>
      </c>
      <c r="G10" t="s">
        <v>13</v>
      </c>
      <c r="J10">
        <v>4</v>
      </c>
      <c r="K10">
        <v>1</v>
      </c>
      <c r="L10">
        <v>17</v>
      </c>
      <c r="O10" s="9">
        <f t="shared" si="2"/>
        <v>0.44921870323291457</v>
      </c>
      <c r="P10" s="9">
        <f t="shared" si="3"/>
        <v>0.44921870323291457</v>
      </c>
      <c r="R10">
        <f t="shared" si="4"/>
        <v>1</v>
      </c>
      <c r="T10">
        <f t="shared" si="5"/>
        <v>0.53356380425923955</v>
      </c>
    </row>
    <row r="11" spans="1:20" x14ac:dyDescent="0.25">
      <c r="B11">
        <v>294</v>
      </c>
      <c r="C11" t="str">
        <f t="shared" si="1"/>
        <v>තෙලකීරිය</v>
      </c>
      <c r="D11" s="35" t="str">
        <f t="shared" si="0"/>
        <v>Excoecaria agallocha</v>
      </c>
      <c r="E11">
        <v>39.25</v>
      </c>
      <c r="F11">
        <v>0.6</v>
      </c>
      <c r="G11" t="s">
        <v>13</v>
      </c>
      <c r="J11">
        <v>4</v>
      </c>
      <c r="K11">
        <v>2</v>
      </c>
      <c r="L11">
        <v>4</v>
      </c>
      <c r="O11" s="9">
        <f t="shared" si="2"/>
        <v>0.26470372872924097</v>
      </c>
      <c r="P11" s="9">
        <f t="shared" si="3"/>
        <v>0.26470372872924097</v>
      </c>
      <c r="R11">
        <f t="shared" si="4"/>
        <v>1</v>
      </c>
      <c r="T11">
        <f t="shared" si="5"/>
        <v>0.53356380425923955</v>
      </c>
    </row>
    <row r="12" spans="1:20" x14ac:dyDescent="0.25">
      <c r="B12">
        <v>295</v>
      </c>
      <c r="C12" t="str">
        <f t="shared" si="1"/>
        <v>බේරිය</v>
      </c>
      <c r="D12" s="35" t="str">
        <f t="shared" si="0"/>
        <v>Lumitzera racemosa</v>
      </c>
      <c r="E12">
        <v>12.46</v>
      </c>
      <c r="F12">
        <v>0.61</v>
      </c>
      <c r="G12" t="s">
        <v>13</v>
      </c>
      <c r="J12">
        <v>1</v>
      </c>
      <c r="K12">
        <v>7</v>
      </c>
      <c r="L12">
        <v>4</v>
      </c>
      <c r="O12" s="9">
        <f t="shared" si="2"/>
        <v>0.14081216691739251</v>
      </c>
      <c r="P12" s="9">
        <f t="shared" si="3"/>
        <v>0.14081216691739251</v>
      </c>
      <c r="R12">
        <f t="shared" si="4"/>
        <v>1</v>
      </c>
      <c r="T12">
        <f t="shared" si="5"/>
        <v>0.53356380425923955</v>
      </c>
    </row>
    <row r="13" spans="1:20" x14ac:dyDescent="0.25">
      <c r="B13">
        <v>296</v>
      </c>
      <c r="C13" t="str">
        <f t="shared" si="1"/>
        <v>බේරිය</v>
      </c>
      <c r="D13" s="35" t="str">
        <f t="shared" si="0"/>
        <v>Lumitzera racemosa</v>
      </c>
      <c r="E13">
        <v>8.7899999999999991</v>
      </c>
      <c r="F13">
        <v>0.4</v>
      </c>
      <c r="G13" t="s">
        <v>13</v>
      </c>
      <c r="J13">
        <v>1</v>
      </c>
      <c r="K13">
        <v>4</v>
      </c>
      <c r="L13">
        <v>7</v>
      </c>
      <c r="O13" s="9">
        <f t="shared" si="2"/>
        <v>6.9496716775818201E-2</v>
      </c>
      <c r="P13" s="9">
        <f t="shared" si="3"/>
        <v>6.9496716775818201E-2</v>
      </c>
      <c r="R13">
        <f t="shared" si="4"/>
        <v>1</v>
      </c>
      <c r="T13">
        <f t="shared" si="5"/>
        <v>0.53356380425923955</v>
      </c>
    </row>
    <row r="14" spans="1:20" x14ac:dyDescent="0.25">
      <c r="B14">
        <v>297</v>
      </c>
      <c r="C14" t="str">
        <f t="shared" si="1"/>
        <v>බේරිය</v>
      </c>
      <c r="D14" s="35" t="str">
        <f t="shared" si="0"/>
        <v>Lumitzera racemosa</v>
      </c>
      <c r="E14">
        <v>13.01</v>
      </c>
      <c r="F14">
        <v>0.47</v>
      </c>
      <c r="G14" t="s">
        <v>12</v>
      </c>
      <c r="H14" t="s">
        <v>17</v>
      </c>
      <c r="J14">
        <v>1</v>
      </c>
      <c r="K14">
        <v>2</v>
      </c>
      <c r="L14">
        <v>5</v>
      </c>
      <c r="O14" s="9">
        <f t="shared" si="2"/>
        <v>0.11537272958448477</v>
      </c>
      <c r="P14" s="9">
        <f t="shared" si="3"/>
        <v>0.1038354566260363</v>
      </c>
      <c r="R14">
        <f t="shared" si="4"/>
        <v>0.9</v>
      </c>
      <c r="T14">
        <f t="shared" si="5"/>
        <v>-0.34957628554915499</v>
      </c>
    </row>
    <row r="15" spans="1:20" x14ac:dyDescent="0.25">
      <c r="B15">
        <v>298</v>
      </c>
      <c r="C15" t="str">
        <f t="shared" si="1"/>
        <v>බේරිය</v>
      </c>
      <c r="D15" s="35" t="str">
        <f t="shared" si="0"/>
        <v>Lumitzera racemosa</v>
      </c>
      <c r="E15">
        <v>8.98</v>
      </c>
      <c r="F15">
        <v>0.48</v>
      </c>
      <c r="G15" t="s">
        <v>14</v>
      </c>
      <c r="J15">
        <v>1</v>
      </c>
      <c r="K15">
        <v>1</v>
      </c>
      <c r="L15">
        <v>5</v>
      </c>
      <c r="O15" s="9">
        <f t="shared" si="2"/>
        <v>8.3753241390604E-2</v>
      </c>
      <c r="P15" s="9">
        <f t="shared" si="3"/>
        <v>6.2814931042952993E-2</v>
      </c>
      <c r="R15">
        <f t="shared" si="4"/>
        <v>0.75</v>
      </c>
      <c r="T15">
        <f t="shared" si="5"/>
        <v>-1.6742864202617473</v>
      </c>
    </row>
    <row r="16" spans="1:20" x14ac:dyDescent="0.25">
      <c r="B16">
        <v>299</v>
      </c>
      <c r="C16" t="str">
        <f t="shared" si="1"/>
        <v>බේරිය</v>
      </c>
      <c r="D16" s="35" t="str">
        <f t="shared" si="0"/>
        <v>Lumitzera racemosa</v>
      </c>
      <c r="E16">
        <v>26.23</v>
      </c>
      <c r="F16">
        <v>0.89</v>
      </c>
      <c r="G16" t="s">
        <v>13</v>
      </c>
      <c r="J16">
        <v>1</v>
      </c>
      <c r="K16">
        <v>2</v>
      </c>
      <c r="L16">
        <v>13</v>
      </c>
      <c r="O16" s="9">
        <f t="shared" si="2"/>
        <v>0.3935899553088773</v>
      </c>
      <c r="P16" s="9">
        <f t="shared" si="3"/>
        <v>0.3935899553088773</v>
      </c>
      <c r="R16">
        <f t="shared" si="4"/>
        <v>1</v>
      </c>
      <c r="T16">
        <f t="shared" si="5"/>
        <v>0.53356380425923955</v>
      </c>
    </row>
    <row r="17" spans="2:20" x14ac:dyDescent="0.25">
      <c r="B17">
        <v>300</v>
      </c>
      <c r="C17" t="str">
        <f t="shared" si="1"/>
        <v>බේරිය</v>
      </c>
      <c r="D17" s="35" t="str">
        <f t="shared" si="0"/>
        <v>Lumitzera racemosa</v>
      </c>
      <c r="E17">
        <v>18.7</v>
      </c>
      <c r="F17">
        <v>0.88</v>
      </c>
      <c r="G17" t="s">
        <v>13</v>
      </c>
      <c r="J17">
        <v>1</v>
      </c>
      <c r="K17">
        <v>4</v>
      </c>
      <c r="L17">
        <v>8</v>
      </c>
      <c r="O17" s="9">
        <f t="shared" si="2"/>
        <v>0.28571731840689241</v>
      </c>
      <c r="P17" s="9">
        <f t="shared" si="3"/>
        <v>0.28571731840689241</v>
      </c>
      <c r="R17">
        <f t="shared" si="4"/>
        <v>1</v>
      </c>
      <c r="T17">
        <f t="shared" si="5"/>
        <v>0.53356380425923955</v>
      </c>
    </row>
    <row r="18" spans="2:20" x14ac:dyDescent="0.25">
      <c r="B18">
        <v>301</v>
      </c>
      <c r="C18" t="str">
        <f t="shared" si="1"/>
        <v>බේරිය</v>
      </c>
      <c r="D18" s="35" t="str">
        <f t="shared" si="0"/>
        <v>Lumitzera racemosa</v>
      </c>
      <c r="E18">
        <v>11.95</v>
      </c>
      <c r="F18">
        <v>0.47</v>
      </c>
      <c r="G18" t="s">
        <v>12</v>
      </c>
      <c r="J18">
        <v>1</v>
      </c>
      <c r="K18">
        <v>2</v>
      </c>
      <c r="L18">
        <v>8</v>
      </c>
      <c r="O18" s="9">
        <f t="shared" si="2"/>
        <v>0.10673188147123316</v>
      </c>
      <c r="P18" s="9">
        <f t="shared" si="3"/>
        <v>9.6058693324109851E-2</v>
      </c>
      <c r="R18">
        <f t="shared" si="4"/>
        <v>0.9</v>
      </c>
      <c r="T18">
        <f t="shared" si="5"/>
        <v>-0.34957628554915499</v>
      </c>
    </row>
    <row r="19" spans="2:20" x14ac:dyDescent="0.25">
      <c r="B19">
        <v>302</v>
      </c>
      <c r="C19" t="str">
        <f t="shared" si="1"/>
        <v>බේරිය</v>
      </c>
      <c r="D19" s="35" t="str">
        <f t="shared" si="0"/>
        <v>Lumitzera racemosa</v>
      </c>
      <c r="E19">
        <v>10.02</v>
      </c>
      <c r="F19">
        <v>0.57999999999999996</v>
      </c>
      <c r="G19" t="s">
        <v>12</v>
      </c>
      <c r="J19">
        <v>1</v>
      </c>
      <c r="K19">
        <v>2</v>
      </c>
      <c r="L19">
        <v>8</v>
      </c>
      <c r="O19" s="9">
        <f t="shared" si="2"/>
        <v>0.11012309308782518</v>
      </c>
      <c r="P19" s="9">
        <f t="shared" si="3"/>
        <v>9.9110783779042672E-2</v>
      </c>
      <c r="R19">
        <f t="shared" si="4"/>
        <v>0.9</v>
      </c>
      <c r="T19">
        <f t="shared" si="5"/>
        <v>-0.34957628554915499</v>
      </c>
    </row>
    <row r="20" spans="2:20" x14ac:dyDescent="0.25">
      <c r="B20">
        <v>303</v>
      </c>
      <c r="C20" t="str">
        <f t="shared" si="1"/>
        <v>බේරිය</v>
      </c>
      <c r="D20" s="35" t="str">
        <f t="shared" si="0"/>
        <v>Lumitzera racemosa</v>
      </c>
      <c r="E20">
        <v>17.62</v>
      </c>
      <c r="F20">
        <v>0.75</v>
      </c>
      <c r="G20" t="s">
        <v>13</v>
      </c>
      <c r="J20">
        <v>1</v>
      </c>
      <c r="K20">
        <v>1</v>
      </c>
      <c r="L20">
        <v>12</v>
      </c>
      <c r="O20" s="9">
        <f t="shared" si="2"/>
        <v>0.23371202131744082</v>
      </c>
      <c r="P20" s="9">
        <f t="shared" si="3"/>
        <v>0.23371202131744082</v>
      </c>
      <c r="R20">
        <f t="shared" si="4"/>
        <v>1</v>
      </c>
      <c r="T20">
        <f t="shared" si="5"/>
        <v>0.53356380425923955</v>
      </c>
    </row>
    <row r="21" spans="2:20" x14ac:dyDescent="0.25">
      <c r="B21">
        <v>304</v>
      </c>
      <c r="C21" t="str">
        <f t="shared" si="1"/>
        <v>තෙලකීරිය</v>
      </c>
      <c r="D21" s="35" t="str">
        <f t="shared" si="0"/>
        <v>Excoecaria agallocha</v>
      </c>
      <c r="E21">
        <v>27.41</v>
      </c>
      <c r="F21">
        <v>0.91</v>
      </c>
      <c r="G21" t="s">
        <v>13</v>
      </c>
      <c r="J21">
        <v>4</v>
      </c>
      <c r="K21">
        <v>1</v>
      </c>
      <c r="L21">
        <v>7</v>
      </c>
      <c r="O21" s="9">
        <f t="shared" si="2"/>
        <v>0.2790120602714099</v>
      </c>
      <c r="P21" s="9">
        <f t="shared" si="3"/>
        <v>0.2790120602714099</v>
      </c>
      <c r="R21">
        <f t="shared" si="4"/>
        <v>1</v>
      </c>
      <c r="T21">
        <f t="shared" si="5"/>
        <v>0.53356380425923955</v>
      </c>
    </row>
    <row r="22" spans="2:20" x14ac:dyDescent="0.25">
      <c r="B22">
        <v>305</v>
      </c>
      <c r="C22" t="str">
        <f t="shared" si="1"/>
        <v>බේරිය</v>
      </c>
      <c r="D22" s="35" t="str">
        <f t="shared" si="0"/>
        <v>Lumitzera racemosa</v>
      </c>
      <c r="E22">
        <v>11.99</v>
      </c>
      <c r="F22">
        <v>0.64</v>
      </c>
      <c r="G22" t="s">
        <v>12</v>
      </c>
      <c r="J22">
        <v>1</v>
      </c>
      <c r="K22">
        <v>2</v>
      </c>
      <c r="L22">
        <v>15</v>
      </c>
      <c r="O22" s="9">
        <f t="shared" si="2"/>
        <v>0.14205049584537416</v>
      </c>
      <c r="P22" s="9">
        <f t="shared" si="3"/>
        <v>0.12784544626083674</v>
      </c>
      <c r="R22">
        <f t="shared" si="4"/>
        <v>0.9</v>
      </c>
      <c r="T22">
        <f t="shared" si="5"/>
        <v>-0.34957628554915499</v>
      </c>
    </row>
    <row r="23" spans="2:20" x14ac:dyDescent="0.25">
      <c r="B23">
        <v>306</v>
      </c>
      <c r="C23" t="str">
        <f t="shared" si="1"/>
        <v>බේරිය</v>
      </c>
      <c r="D23" s="35" t="str">
        <f t="shared" si="0"/>
        <v>Lumitzera racemosa</v>
      </c>
      <c r="E23">
        <v>10.97</v>
      </c>
      <c r="F23">
        <v>0.43</v>
      </c>
      <c r="G23" t="s">
        <v>12</v>
      </c>
      <c r="J23">
        <v>1</v>
      </c>
      <c r="K23">
        <v>1</v>
      </c>
      <c r="L23">
        <v>7</v>
      </c>
      <c r="O23" s="9">
        <f t="shared" si="2"/>
        <v>9.0964073890942923E-2</v>
      </c>
      <c r="P23" s="9">
        <f t="shared" si="3"/>
        <v>8.1867666501848638E-2</v>
      </c>
      <c r="R23">
        <f t="shared" si="4"/>
        <v>0.9</v>
      </c>
      <c r="T23">
        <f t="shared" si="5"/>
        <v>-0.34957628554915499</v>
      </c>
    </row>
    <row r="24" spans="2:20" x14ac:dyDescent="0.25">
      <c r="B24">
        <v>307</v>
      </c>
      <c r="C24" t="str">
        <f t="shared" si="1"/>
        <v>බේරිය</v>
      </c>
      <c r="D24" s="35" t="str">
        <f t="shared" si="0"/>
        <v>Lumitzera racemosa</v>
      </c>
      <c r="E24">
        <v>12.15</v>
      </c>
      <c r="F24">
        <v>0.52</v>
      </c>
      <c r="J24">
        <v>1</v>
      </c>
      <c r="K24">
        <v>1</v>
      </c>
      <c r="L24">
        <v>10</v>
      </c>
      <c r="O24" s="9">
        <f t="shared" si="2"/>
        <v>0.11888155017105664</v>
      </c>
      <c r="P24" s="9">
        <f t="shared" si="3"/>
        <v>5.9440775085528322E-2</v>
      </c>
      <c r="R24">
        <f t="shared" si="4"/>
        <v>0.5</v>
      </c>
      <c r="T24">
        <f t="shared" si="5"/>
        <v>-3.8821366447827339</v>
      </c>
    </row>
    <row r="25" spans="2:20" x14ac:dyDescent="0.25">
      <c r="B25">
        <v>308</v>
      </c>
      <c r="C25" t="str">
        <f t="shared" si="1"/>
        <v>බේරිය</v>
      </c>
      <c r="D25" s="35" t="str">
        <f t="shared" si="0"/>
        <v>Lumitzera racemosa</v>
      </c>
      <c r="E25">
        <v>10.14</v>
      </c>
      <c r="F25">
        <v>0.65</v>
      </c>
      <c r="G25" t="s">
        <v>12</v>
      </c>
      <c r="J25">
        <v>1</v>
      </c>
      <c r="K25">
        <v>2</v>
      </c>
      <c r="L25">
        <v>14</v>
      </c>
      <c r="O25" s="9">
        <f t="shared" si="2"/>
        <v>0.1235785023239226</v>
      </c>
      <c r="P25" s="9">
        <f t="shared" si="3"/>
        <v>0.11122065209153034</v>
      </c>
      <c r="R25">
        <f t="shared" si="4"/>
        <v>0.9</v>
      </c>
      <c r="T25">
        <f t="shared" si="5"/>
        <v>-0.34957628554915499</v>
      </c>
    </row>
    <row r="26" spans="2:20" x14ac:dyDescent="0.25">
      <c r="B26">
        <v>309</v>
      </c>
      <c r="C26" t="str">
        <f t="shared" si="1"/>
        <v>බේරිය</v>
      </c>
      <c r="D26" s="35" t="str">
        <f t="shared" si="0"/>
        <v>Lumitzera racemosa</v>
      </c>
      <c r="E26">
        <v>14.71</v>
      </c>
      <c r="F26">
        <v>0.67</v>
      </c>
      <c r="G26" t="s">
        <v>12</v>
      </c>
      <c r="J26">
        <v>1</v>
      </c>
      <c r="K26">
        <v>4</v>
      </c>
      <c r="L26">
        <v>10</v>
      </c>
      <c r="O26" s="9">
        <f t="shared" si="2"/>
        <v>0.17864927317017035</v>
      </c>
      <c r="P26" s="9">
        <f t="shared" si="3"/>
        <v>0.16078434585315332</v>
      </c>
      <c r="R26">
        <f t="shared" si="4"/>
        <v>0.9</v>
      </c>
      <c r="T26">
        <f t="shared" si="5"/>
        <v>-0.34957628554915499</v>
      </c>
    </row>
    <row r="27" spans="2:20" x14ac:dyDescent="0.25">
      <c r="B27">
        <v>310</v>
      </c>
      <c r="C27" t="str">
        <f t="shared" si="1"/>
        <v>බේරිය</v>
      </c>
      <c r="D27" s="35" t="str">
        <f t="shared" si="0"/>
        <v>Lumitzera racemosa</v>
      </c>
      <c r="E27">
        <v>13.79</v>
      </c>
      <c r="F27">
        <v>0.87</v>
      </c>
      <c r="G27" t="s">
        <v>13</v>
      </c>
      <c r="J27">
        <v>1</v>
      </c>
      <c r="K27">
        <v>2</v>
      </c>
      <c r="L27">
        <v>11</v>
      </c>
      <c r="O27" s="9">
        <f t="shared" si="2"/>
        <v>0.21390652345677313</v>
      </c>
      <c r="P27" s="9">
        <f t="shared" si="3"/>
        <v>0.21390652345677313</v>
      </c>
      <c r="R27">
        <f t="shared" si="4"/>
        <v>1</v>
      </c>
      <c r="T27">
        <f t="shared" si="5"/>
        <v>0.53356380425923955</v>
      </c>
    </row>
    <row r="29" spans="2:20" ht="45" x14ac:dyDescent="0.25">
      <c r="O29" s="22" t="s">
        <v>106</v>
      </c>
      <c r="P29" s="23">
        <f>SUM(P4:P27)</f>
        <v>3.9503912603772058</v>
      </c>
      <c r="Q29" s="66" t="s">
        <v>169</v>
      </c>
      <c r="R29">
        <f>AVERAGE(R4:R27)</f>
        <v>0.93958333333333321</v>
      </c>
    </row>
    <row r="30" spans="2:20" x14ac:dyDescent="0.25">
      <c r="Q30" t="s">
        <v>170</v>
      </c>
      <c r="R30">
        <f>STDEV(R4:R27)</f>
        <v>0.11323231858005213</v>
      </c>
    </row>
    <row r="32" spans="2:20" x14ac:dyDescent="0.25">
      <c r="O32" s="21" t="s">
        <v>97</v>
      </c>
      <c r="P32" s="21"/>
      <c r="Q32" s="21"/>
      <c r="R32" s="21"/>
    </row>
    <row r="33" spans="15:18" x14ac:dyDescent="0.25">
      <c r="O33" s="21" t="s">
        <v>107</v>
      </c>
      <c r="P33" s="21">
        <f>1.24*P29</f>
        <v>4.8984851628677353</v>
      </c>
      <c r="Q33" s="21"/>
      <c r="R33" s="21"/>
    </row>
    <row r="34" spans="15:18" x14ac:dyDescent="0.25">
      <c r="O34" s="21"/>
      <c r="P34" s="21"/>
      <c r="Q34" s="21"/>
      <c r="R34" s="21"/>
    </row>
    <row r="35" spans="15:18" x14ac:dyDescent="0.25">
      <c r="O35" s="21"/>
      <c r="P35" s="21"/>
      <c r="Q35" s="21"/>
      <c r="R35" s="21"/>
    </row>
    <row r="36" spans="15:18" x14ac:dyDescent="0.25">
      <c r="O36" s="21" t="s">
        <v>109</v>
      </c>
      <c r="P36" s="21"/>
      <c r="Q36" s="21"/>
      <c r="R36" s="21"/>
    </row>
    <row r="37" spans="15:18" ht="30" x14ac:dyDescent="0.25">
      <c r="O37" s="26" t="s">
        <v>108</v>
      </c>
      <c r="P37" s="21">
        <f>1.2*P33</f>
        <v>5.8781821954412825</v>
      </c>
      <c r="Q37" s="21"/>
      <c r="R37" s="21"/>
    </row>
    <row r="38" spans="15:18" x14ac:dyDescent="0.25">
      <c r="O38" s="21"/>
      <c r="P38" s="21"/>
      <c r="Q38" s="21"/>
      <c r="R38" s="21"/>
    </row>
    <row r="40" spans="15:18" ht="30" x14ac:dyDescent="0.25">
      <c r="O40" s="49" t="s">
        <v>135</v>
      </c>
      <c r="P40" s="44" t="s">
        <v>136</v>
      </c>
    </row>
    <row r="41" spans="15:18" ht="30" x14ac:dyDescent="0.25">
      <c r="O41" s="46" t="s">
        <v>138</v>
      </c>
      <c r="P41" s="45">
        <f>1.83*P33</f>
        <v>8.9642278480479565</v>
      </c>
    </row>
  </sheetData>
  <mergeCells count="2">
    <mergeCell ref="A1:L1"/>
    <mergeCell ref="A2:L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6"/>
  <sheetViews>
    <sheetView zoomScale="40" zoomScaleNormal="40" workbookViewId="0">
      <selection activeCell="W24" sqref="W24"/>
    </sheetView>
  </sheetViews>
  <sheetFormatPr defaultRowHeight="15" x14ac:dyDescent="0.25"/>
  <cols>
    <col min="3" max="3" width="19.7109375" customWidth="1"/>
    <col min="4" max="4" width="20" customWidth="1"/>
    <col min="5" max="5" width="15" customWidth="1"/>
    <col min="6" max="6" width="15.140625" customWidth="1"/>
    <col min="7" max="7" width="21.7109375" customWidth="1"/>
    <col min="8" max="8" width="19.140625" customWidth="1"/>
    <col min="11" max="11" width="16" customWidth="1"/>
    <col min="12" max="12" width="14.85546875" customWidth="1"/>
    <col min="15" max="15" width="20.5703125" customWidth="1"/>
    <col min="16" max="16" width="16.85546875" customWidth="1"/>
    <col min="17" max="17" width="18.7109375" customWidth="1"/>
    <col min="18" max="18" width="14.42578125" customWidth="1"/>
    <col min="20" max="20" width="12.2851562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60"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66" t="s">
        <v>168</v>
      </c>
      <c r="T3" s="66" t="s">
        <v>171</v>
      </c>
    </row>
    <row r="4" spans="1:20" x14ac:dyDescent="0.25">
      <c r="A4">
        <v>9</v>
      </c>
      <c r="B4">
        <v>341</v>
      </c>
      <c r="C4" t="str">
        <f>IF(J4=1,"බේරිය",IF(J4=2,"මණ්ඩ",IF(J4=3,"කඩොල්",IF(J4=4,"තෙලකීරිය","හීන් කඩොල්/ ඇවරි කඩොල්"))))</f>
        <v>තෙලකීරිය</v>
      </c>
      <c r="D4" s="35" t="str">
        <f t="shared" ref="D4:D42" si="0">IF(J4=1,"Lumitzera racemosa",IF(J4=2,"Avicenia marina",IF(J4=3,"Rhizophora spp.",IF(J4=4,"Excoecaria agallocha","Aegiceras corniculatum"))))</f>
        <v>Excoecaria agallocha</v>
      </c>
      <c r="E4">
        <v>14.61</v>
      </c>
      <c r="F4">
        <v>1.1000000000000001</v>
      </c>
      <c r="G4" t="s">
        <v>12</v>
      </c>
      <c r="J4">
        <v>4</v>
      </c>
      <c r="K4">
        <v>2</v>
      </c>
      <c r="L4">
        <v>1</v>
      </c>
      <c r="O4" s="9">
        <f>0.251*(IF(J4=1,0.7,IF(J4=2,0.58,IF(J4=3,0.62,IF(J4=4,0.45,0.55))))*E4/10*F4)^0.916</f>
        <v>0.18653128475900982</v>
      </c>
      <c r="P4" s="9">
        <f>O4*IF(G4="A",1,IF(G4="B",0.9,IF(G4="C",0.75,0.5)))</f>
        <v>0.16787815628310884</v>
      </c>
      <c r="R4">
        <f>IF(G4="A",1,IF(G4="B",0.9,IF(G4="C",0.75,0.5)))</f>
        <v>0.9</v>
      </c>
      <c r="T4">
        <f>STANDARDIZE(R4,$R$44,$R$45)</f>
        <v>-0.22949521273446785</v>
      </c>
    </row>
    <row r="5" spans="1:20" x14ac:dyDescent="0.25">
      <c r="B5">
        <v>342</v>
      </c>
      <c r="C5" t="str">
        <f t="shared" ref="C5:C42" si="1">IF(J5=1,"බේරිය",IF(J5=2,"මණ්ඩ",IF(J5=3,"කඩොල්",IF(J5=4,"තෙලකීරිය","හීන් කඩොල්/ ඇවරි කඩොල්"))))</f>
        <v>තෙලකීරිය</v>
      </c>
      <c r="D5" s="35" t="str">
        <f t="shared" si="0"/>
        <v>Excoecaria agallocha</v>
      </c>
      <c r="E5">
        <v>11.08</v>
      </c>
      <c r="F5">
        <v>0.9</v>
      </c>
      <c r="G5" t="s">
        <v>12</v>
      </c>
      <c r="J5">
        <v>4</v>
      </c>
      <c r="K5">
        <v>4</v>
      </c>
      <c r="L5">
        <v>1</v>
      </c>
      <c r="O5" s="9">
        <f t="shared" ref="O5:O42" si="2">0.251*(IF(J5=1,0.7,IF(J5=2,0.58,IF(J5=3,0.62,IF(J5=4,0.45,0.55))))*E5/10*F5)^0.916</f>
        <v>0.1204761119210868</v>
      </c>
      <c r="P5" s="9">
        <f t="shared" ref="P5:P42" si="3">O5*IF(G5="A",1,IF(G5="B",0.9,IF(G5="C",0.75,0.5)))</f>
        <v>0.10842850072897812</v>
      </c>
      <c r="R5">
        <f t="shared" ref="R5:R42" si="4">IF(G5="A",1,IF(G5="B",0.9,IF(G5="C",0.75,0.5)))</f>
        <v>0.9</v>
      </c>
      <c r="T5">
        <f t="shared" ref="T5:T42" si="5">STANDARDIZE(R5,$R$44,$R$45)</f>
        <v>-0.22949521273446785</v>
      </c>
    </row>
    <row r="6" spans="1:20" x14ac:dyDescent="0.25">
      <c r="B6">
        <v>343</v>
      </c>
      <c r="C6" t="str">
        <f t="shared" si="1"/>
        <v>තෙලකීරිය</v>
      </c>
      <c r="D6" s="35" t="str">
        <f t="shared" si="0"/>
        <v>Excoecaria agallocha</v>
      </c>
      <c r="E6">
        <v>12.03</v>
      </c>
      <c r="F6">
        <v>1.1000000000000001</v>
      </c>
      <c r="G6" t="s">
        <v>12</v>
      </c>
      <c r="J6">
        <v>4</v>
      </c>
      <c r="K6">
        <v>1</v>
      </c>
      <c r="L6">
        <v>1</v>
      </c>
      <c r="O6" s="9">
        <f t="shared" si="2"/>
        <v>0.15611886970619204</v>
      </c>
      <c r="P6" s="9">
        <f t="shared" si="3"/>
        <v>0.14050698273557286</v>
      </c>
      <c r="R6">
        <f t="shared" si="4"/>
        <v>0.9</v>
      </c>
      <c r="T6">
        <f t="shared" si="5"/>
        <v>-0.22949521273446785</v>
      </c>
    </row>
    <row r="7" spans="1:20" x14ac:dyDescent="0.25">
      <c r="B7">
        <v>344</v>
      </c>
      <c r="C7" t="str">
        <f t="shared" si="1"/>
        <v>බේරිය</v>
      </c>
      <c r="D7" s="35" t="str">
        <f t="shared" si="0"/>
        <v>Lumitzera racemosa</v>
      </c>
      <c r="E7">
        <v>17.420000000000002</v>
      </c>
      <c r="F7">
        <v>1.25</v>
      </c>
      <c r="G7" t="s">
        <v>12</v>
      </c>
      <c r="J7">
        <v>1</v>
      </c>
      <c r="K7">
        <v>6</v>
      </c>
      <c r="L7">
        <v>4</v>
      </c>
      <c r="O7" s="9">
        <f t="shared" si="2"/>
        <v>0.36927780362148788</v>
      </c>
      <c r="P7" s="9">
        <f t="shared" si="3"/>
        <v>0.3323500232593391</v>
      </c>
      <c r="R7">
        <f t="shared" si="4"/>
        <v>0.9</v>
      </c>
      <c r="T7">
        <f t="shared" si="5"/>
        <v>-0.22949521273446785</v>
      </c>
    </row>
    <row r="8" spans="1:20" x14ac:dyDescent="0.25">
      <c r="B8">
        <v>345</v>
      </c>
      <c r="C8" t="str">
        <f t="shared" si="1"/>
        <v>බේරිය</v>
      </c>
      <c r="D8" s="35" t="str">
        <f t="shared" si="0"/>
        <v>Lumitzera racemosa</v>
      </c>
      <c r="E8">
        <v>27.06</v>
      </c>
      <c r="F8">
        <v>1.85</v>
      </c>
      <c r="G8" t="s">
        <v>12</v>
      </c>
      <c r="J8">
        <v>1</v>
      </c>
      <c r="K8">
        <v>10</v>
      </c>
      <c r="L8">
        <v>6</v>
      </c>
      <c r="O8" s="9">
        <f t="shared" si="2"/>
        <v>0.79163518218663265</v>
      </c>
      <c r="P8" s="9">
        <f t="shared" si="3"/>
        <v>0.71247166396796935</v>
      </c>
      <c r="R8">
        <f t="shared" si="4"/>
        <v>0.9</v>
      </c>
      <c r="T8">
        <f t="shared" si="5"/>
        <v>-0.22949521273446785</v>
      </c>
    </row>
    <row r="9" spans="1:20" x14ac:dyDescent="0.25">
      <c r="B9">
        <v>346</v>
      </c>
      <c r="C9" t="str">
        <f t="shared" si="1"/>
        <v>තෙලකීරිය</v>
      </c>
      <c r="D9" s="35" t="str">
        <f t="shared" si="0"/>
        <v>Excoecaria agallocha</v>
      </c>
      <c r="E9">
        <v>34.81</v>
      </c>
      <c r="F9">
        <v>1.2</v>
      </c>
      <c r="G9" t="s">
        <v>12</v>
      </c>
      <c r="J9">
        <v>4</v>
      </c>
      <c r="K9">
        <v>1</v>
      </c>
      <c r="L9">
        <v>5</v>
      </c>
      <c r="O9" s="9">
        <f t="shared" si="2"/>
        <v>0.44745286256084016</v>
      </c>
      <c r="P9" s="9">
        <f t="shared" si="3"/>
        <v>0.40270757630475618</v>
      </c>
      <c r="R9">
        <f t="shared" si="4"/>
        <v>0.9</v>
      </c>
      <c r="T9">
        <f t="shared" si="5"/>
        <v>-0.22949521273446785</v>
      </c>
    </row>
    <row r="10" spans="1:20" x14ac:dyDescent="0.25">
      <c r="B10">
        <v>347</v>
      </c>
      <c r="C10" t="str">
        <f t="shared" si="1"/>
        <v>බේරිය</v>
      </c>
      <c r="D10" s="35" t="str">
        <f t="shared" si="0"/>
        <v>Lumitzera racemosa</v>
      </c>
      <c r="E10">
        <v>8.42</v>
      </c>
      <c r="F10">
        <v>0.86</v>
      </c>
      <c r="G10" t="s">
        <v>12</v>
      </c>
      <c r="J10">
        <v>1</v>
      </c>
      <c r="K10">
        <v>6</v>
      </c>
      <c r="L10">
        <v>10</v>
      </c>
      <c r="O10" s="9">
        <f t="shared" si="2"/>
        <v>0.13470074052458547</v>
      </c>
      <c r="P10" s="9">
        <f t="shared" si="3"/>
        <v>0.12123066647212692</v>
      </c>
      <c r="R10">
        <f t="shared" si="4"/>
        <v>0.9</v>
      </c>
      <c r="T10">
        <f t="shared" si="5"/>
        <v>-0.22949521273446785</v>
      </c>
    </row>
    <row r="11" spans="1:20" x14ac:dyDescent="0.25">
      <c r="B11">
        <v>348</v>
      </c>
      <c r="C11" t="str">
        <f t="shared" si="1"/>
        <v>බේරිය</v>
      </c>
      <c r="D11" s="35" t="str">
        <f t="shared" si="0"/>
        <v>Lumitzera racemosa</v>
      </c>
      <c r="E11">
        <v>16.63</v>
      </c>
      <c r="F11">
        <v>1.2</v>
      </c>
      <c r="G11" t="s">
        <v>12</v>
      </c>
      <c r="J11">
        <v>1</v>
      </c>
      <c r="K11">
        <v>8</v>
      </c>
      <c r="L11">
        <v>6</v>
      </c>
      <c r="O11" s="9">
        <f t="shared" si="2"/>
        <v>0.34091871890896613</v>
      </c>
      <c r="P11" s="9">
        <f t="shared" si="3"/>
        <v>0.3068268470180695</v>
      </c>
      <c r="R11">
        <f t="shared" si="4"/>
        <v>0.9</v>
      </c>
      <c r="T11">
        <f t="shared" si="5"/>
        <v>-0.22949521273446785</v>
      </c>
    </row>
    <row r="12" spans="1:20" x14ac:dyDescent="0.25">
      <c r="B12">
        <v>349</v>
      </c>
      <c r="C12" t="str">
        <f t="shared" si="1"/>
        <v>බේරිය</v>
      </c>
      <c r="D12" s="35" t="str">
        <f t="shared" si="0"/>
        <v>Lumitzera racemosa</v>
      </c>
      <c r="E12">
        <v>12.04</v>
      </c>
      <c r="F12">
        <v>0.63</v>
      </c>
      <c r="G12" t="s">
        <v>12</v>
      </c>
      <c r="J12">
        <v>1</v>
      </c>
      <c r="K12">
        <v>2</v>
      </c>
      <c r="L12">
        <v>9</v>
      </c>
      <c r="O12" s="9">
        <f t="shared" si="2"/>
        <v>0.14055080308940296</v>
      </c>
      <c r="P12" s="9">
        <f t="shared" si="3"/>
        <v>0.12649572278046267</v>
      </c>
      <c r="R12">
        <f t="shared" si="4"/>
        <v>0.9</v>
      </c>
      <c r="T12">
        <f t="shared" si="5"/>
        <v>-0.22949521273446785</v>
      </c>
    </row>
    <row r="13" spans="1:20" x14ac:dyDescent="0.25">
      <c r="B13">
        <v>350</v>
      </c>
      <c r="C13" t="str">
        <f t="shared" si="1"/>
        <v>තෙලකීරිය</v>
      </c>
      <c r="D13" s="35" t="str">
        <f t="shared" si="0"/>
        <v>Excoecaria agallocha</v>
      </c>
      <c r="E13">
        <v>27.07</v>
      </c>
      <c r="F13">
        <v>1.1599999999999999</v>
      </c>
      <c r="G13" t="s">
        <v>12</v>
      </c>
      <c r="J13">
        <v>4</v>
      </c>
      <c r="K13">
        <v>2</v>
      </c>
      <c r="L13">
        <v>6</v>
      </c>
      <c r="O13" s="9">
        <f t="shared" si="2"/>
        <v>0.34452373320543578</v>
      </c>
      <c r="P13" s="9">
        <f t="shared" si="3"/>
        <v>0.31007135988489221</v>
      </c>
      <c r="R13">
        <f t="shared" si="4"/>
        <v>0.9</v>
      </c>
      <c r="T13">
        <f t="shared" si="5"/>
        <v>-0.22949521273446785</v>
      </c>
    </row>
    <row r="14" spans="1:20" x14ac:dyDescent="0.25">
      <c r="B14">
        <v>351</v>
      </c>
      <c r="C14" t="str">
        <f t="shared" si="1"/>
        <v>බේරිය</v>
      </c>
      <c r="D14" s="35" t="str">
        <f t="shared" si="0"/>
        <v>Lumitzera racemosa</v>
      </c>
      <c r="E14">
        <v>23.98</v>
      </c>
      <c r="F14">
        <v>2</v>
      </c>
      <c r="G14" t="s">
        <v>12</v>
      </c>
      <c r="J14">
        <v>1</v>
      </c>
      <c r="K14">
        <v>6</v>
      </c>
      <c r="L14">
        <v>4</v>
      </c>
      <c r="O14" s="9">
        <f t="shared" si="2"/>
        <v>0.76114754318076117</v>
      </c>
      <c r="P14" s="9">
        <f t="shared" si="3"/>
        <v>0.68503278886268504</v>
      </c>
      <c r="R14">
        <f t="shared" si="4"/>
        <v>0.9</v>
      </c>
      <c r="T14">
        <f t="shared" si="5"/>
        <v>-0.22949521273446785</v>
      </c>
    </row>
    <row r="15" spans="1:20" x14ac:dyDescent="0.25">
      <c r="B15">
        <v>352</v>
      </c>
      <c r="C15" t="str">
        <f t="shared" si="1"/>
        <v>මණ්ඩ</v>
      </c>
      <c r="D15" s="35" t="str">
        <f t="shared" si="0"/>
        <v>Avicenia marina</v>
      </c>
      <c r="E15">
        <v>5.81</v>
      </c>
      <c r="F15">
        <v>0.82</v>
      </c>
      <c r="G15" t="s">
        <v>12</v>
      </c>
      <c r="J15">
        <v>2</v>
      </c>
      <c r="K15">
        <v>1</v>
      </c>
      <c r="L15">
        <v>1</v>
      </c>
      <c r="O15" s="9">
        <f t="shared" si="2"/>
        <v>7.7270298443541538E-2</v>
      </c>
      <c r="P15" s="9">
        <f t="shared" si="3"/>
        <v>6.9543268599187386E-2</v>
      </c>
      <c r="R15">
        <f t="shared" si="4"/>
        <v>0.9</v>
      </c>
      <c r="T15">
        <f t="shared" si="5"/>
        <v>-0.22949521273446785</v>
      </c>
    </row>
    <row r="16" spans="1:20" x14ac:dyDescent="0.25">
      <c r="B16">
        <v>353</v>
      </c>
      <c r="C16" t="str">
        <f t="shared" si="1"/>
        <v>තෙලකීරිය</v>
      </c>
      <c r="D16" s="35" t="str">
        <f t="shared" si="0"/>
        <v>Excoecaria agallocha</v>
      </c>
      <c r="E16">
        <v>30.36</v>
      </c>
      <c r="F16">
        <v>1.1499999999999999</v>
      </c>
      <c r="G16" t="s">
        <v>12</v>
      </c>
      <c r="J16">
        <v>4</v>
      </c>
      <c r="K16">
        <v>1</v>
      </c>
      <c r="L16">
        <v>6</v>
      </c>
      <c r="O16" s="9">
        <f t="shared" si="2"/>
        <v>0.37966802631825319</v>
      </c>
      <c r="P16" s="9">
        <f t="shared" si="3"/>
        <v>0.34170122368642786</v>
      </c>
      <c r="R16">
        <f t="shared" si="4"/>
        <v>0.9</v>
      </c>
      <c r="T16">
        <f t="shared" si="5"/>
        <v>-0.22949521273446785</v>
      </c>
    </row>
    <row r="17" spans="2:20" x14ac:dyDescent="0.25">
      <c r="B17">
        <v>354</v>
      </c>
      <c r="C17" t="str">
        <f t="shared" si="1"/>
        <v>තෙලකීරිය</v>
      </c>
      <c r="D17" s="35" t="str">
        <f t="shared" si="0"/>
        <v>Excoecaria agallocha</v>
      </c>
      <c r="E17">
        <v>21.81</v>
      </c>
      <c r="F17">
        <v>0.95</v>
      </c>
      <c r="G17" t="s">
        <v>12</v>
      </c>
      <c r="J17">
        <v>4</v>
      </c>
      <c r="K17">
        <v>2</v>
      </c>
      <c r="L17">
        <v>2</v>
      </c>
      <c r="O17" s="9">
        <f t="shared" si="2"/>
        <v>0.23540722952847881</v>
      </c>
      <c r="P17" s="9">
        <f t="shared" si="3"/>
        <v>0.21186650657563094</v>
      </c>
      <c r="R17">
        <f t="shared" si="4"/>
        <v>0.9</v>
      </c>
      <c r="T17">
        <f t="shared" si="5"/>
        <v>-0.22949521273446785</v>
      </c>
    </row>
    <row r="18" spans="2:20" x14ac:dyDescent="0.25">
      <c r="B18">
        <v>355</v>
      </c>
      <c r="C18" t="str">
        <f t="shared" si="1"/>
        <v>බේරිය</v>
      </c>
      <c r="D18" s="35" t="str">
        <f t="shared" si="0"/>
        <v>Lumitzera racemosa</v>
      </c>
      <c r="E18">
        <v>33.11</v>
      </c>
      <c r="F18">
        <v>1.75</v>
      </c>
      <c r="G18" t="s">
        <v>13</v>
      </c>
      <c r="J18">
        <v>1</v>
      </c>
      <c r="K18">
        <v>7</v>
      </c>
      <c r="L18">
        <v>5</v>
      </c>
      <c r="O18" s="9">
        <f t="shared" si="2"/>
        <v>0.90508420998512606</v>
      </c>
      <c r="P18" s="9">
        <f t="shared" si="3"/>
        <v>0.90508420998512606</v>
      </c>
      <c r="R18">
        <f t="shared" si="4"/>
        <v>1</v>
      </c>
      <c r="T18">
        <f t="shared" si="5"/>
        <v>4.2456614355882518</v>
      </c>
    </row>
    <row r="19" spans="2:20" x14ac:dyDescent="0.25">
      <c r="B19">
        <v>356</v>
      </c>
      <c r="C19" t="str">
        <f t="shared" si="1"/>
        <v>තෙලකීරිය</v>
      </c>
      <c r="D19" s="35" t="str">
        <f t="shared" si="0"/>
        <v>Excoecaria agallocha</v>
      </c>
      <c r="E19">
        <v>26.31</v>
      </c>
      <c r="F19">
        <v>0.94</v>
      </c>
      <c r="G19" t="s">
        <v>12</v>
      </c>
      <c r="J19">
        <v>4</v>
      </c>
      <c r="K19">
        <v>3</v>
      </c>
      <c r="L19">
        <v>4</v>
      </c>
      <c r="O19" s="9">
        <f t="shared" si="2"/>
        <v>0.2768421381825909</v>
      </c>
      <c r="P19" s="9">
        <f t="shared" si="3"/>
        <v>0.24915792436433182</v>
      </c>
      <c r="R19">
        <f t="shared" si="4"/>
        <v>0.9</v>
      </c>
      <c r="T19">
        <f t="shared" si="5"/>
        <v>-0.22949521273446785</v>
      </c>
    </row>
    <row r="20" spans="2:20" x14ac:dyDescent="0.25">
      <c r="B20">
        <v>357</v>
      </c>
      <c r="C20" t="str">
        <f t="shared" si="1"/>
        <v>තෙලකීරිය</v>
      </c>
      <c r="D20" s="35" t="str">
        <f t="shared" si="0"/>
        <v>Excoecaria agallocha</v>
      </c>
      <c r="E20">
        <v>19.04</v>
      </c>
      <c r="F20">
        <v>0.94</v>
      </c>
      <c r="G20" t="s">
        <v>12</v>
      </c>
      <c r="J20">
        <v>4</v>
      </c>
      <c r="K20">
        <v>3</v>
      </c>
      <c r="L20">
        <v>4</v>
      </c>
      <c r="O20" s="9">
        <f t="shared" si="2"/>
        <v>0.20586210950069436</v>
      </c>
      <c r="P20" s="9">
        <f t="shared" si="3"/>
        <v>0.18527589855062493</v>
      </c>
      <c r="R20">
        <f t="shared" si="4"/>
        <v>0.9</v>
      </c>
      <c r="T20">
        <f t="shared" si="5"/>
        <v>-0.22949521273446785</v>
      </c>
    </row>
    <row r="21" spans="2:20" x14ac:dyDescent="0.25">
      <c r="B21">
        <v>358</v>
      </c>
      <c r="C21" t="str">
        <f t="shared" si="1"/>
        <v>තෙලකීරිය</v>
      </c>
      <c r="D21" s="35" t="str">
        <f t="shared" si="0"/>
        <v>Excoecaria agallocha</v>
      </c>
      <c r="E21">
        <v>41.22</v>
      </c>
      <c r="F21">
        <v>0.66</v>
      </c>
      <c r="G21" t="s">
        <v>12</v>
      </c>
      <c r="J21">
        <v>4</v>
      </c>
      <c r="K21">
        <v>4</v>
      </c>
      <c r="L21">
        <v>5</v>
      </c>
      <c r="O21" s="9">
        <f t="shared" si="2"/>
        <v>0.30210474429894957</v>
      </c>
      <c r="P21" s="9">
        <f t="shared" si="3"/>
        <v>0.27189426986905463</v>
      </c>
      <c r="R21">
        <f t="shared" si="4"/>
        <v>0.9</v>
      </c>
      <c r="T21">
        <f t="shared" si="5"/>
        <v>-0.22949521273446785</v>
      </c>
    </row>
    <row r="22" spans="2:20" x14ac:dyDescent="0.25">
      <c r="B22">
        <v>359</v>
      </c>
      <c r="C22" t="str">
        <f t="shared" si="1"/>
        <v>බේරිය</v>
      </c>
      <c r="D22" s="35" t="str">
        <f t="shared" si="0"/>
        <v>Lumitzera racemosa</v>
      </c>
      <c r="E22">
        <v>8.94</v>
      </c>
      <c r="F22">
        <v>0.39</v>
      </c>
      <c r="G22" t="s">
        <v>13</v>
      </c>
      <c r="J22">
        <v>1</v>
      </c>
      <c r="K22">
        <v>2</v>
      </c>
      <c r="L22">
        <v>2</v>
      </c>
      <c r="O22" s="9">
        <f t="shared" si="2"/>
        <v>6.8964227110637127E-2</v>
      </c>
      <c r="P22" s="9">
        <f t="shared" si="3"/>
        <v>6.8964227110637127E-2</v>
      </c>
      <c r="R22">
        <f t="shared" si="4"/>
        <v>1</v>
      </c>
      <c r="T22">
        <f t="shared" si="5"/>
        <v>4.2456614355882518</v>
      </c>
    </row>
    <row r="23" spans="2:20" x14ac:dyDescent="0.25">
      <c r="B23">
        <v>360</v>
      </c>
      <c r="C23" t="str">
        <f t="shared" si="1"/>
        <v>බේරිය</v>
      </c>
      <c r="D23" s="35" t="str">
        <f t="shared" si="0"/>
        <v>Lumitzera racemosa</v>
      </c>
      <c r="E23">
        <v>14.51</v>
      </c>
      <c r="F23">
        <v>0.26</v>
      </c>
      <c r="G23" t="s">
        <v>12</v>
      </c>
      <c r="J23">
        <v>1</v>
      </c>
      <c r="K23">
        <v>2</v>
      </c>
      <c r="L23">
        <v>8</v>
      </c>
      <c r="O23" s="9">
        <f t="shared" si="2"/>
        <v>7.4128713438471397E-2</v>
      </c>
      <c r="P23" s="9">
        <f t="shared" si="3"/>
        <v>6.6715842094624264E-2</v>
      </c>
      <c r="R23">
        <f t="shared" si="4"/>
        <v>0.9</v>
      </c>
      <c r="T23">
        <f t="shared" si="5"/>
        <v>-0.22949521273446785</v>
      </c>
    </row>
    <row r="24" spans="2:20" x14ac:dyDescent="0.25">
      <c r="B24">
        <v>361</v>
      </c>
      <c r="C24" t="str">
        <f t="shared" si="1"/>
        <v>තෙලකීරිය</v>
      </c>
      <c r="D24" s="35" t="str">
        <f t="shared" si="0"/>
        <v>Excoecaria agallocha</v>
      </c>
      <c r="E24">
        <v>17.25</v>
      </c>
      <c r="F24">
        <v>1.1000000000000001</v>
      </c>
      <c r="G24" t="s">
        <v>12</v>
      </c>
      <c r="J24">
        <v>4</v>
      </c>
      <c r="K24">
        <v>3</v>
      </c>
      <c r="L24">
        <v>1</v>
      </c>
      <c r="O24" s="9">
        <f t="shared" si="2"/>
        <v>0.21718553589124745</v>
      </c>
      <c r="P24" s="9">
        <f t="shared" si="3"/>
        <v>0.1954669823021227</v>
      </c>
      <c r="R24">
        <f t="shared" si="4"/>
        <v>0.9</v>
      </c>
      <c r="T24">
        <f t="shared" si="5"/>
        <v>-0.22949521273446785</v>
      </c>
    </row>
    <row r="25" spans="2:20" x14ac:dyDescent="0.25">
      <c r="B25">
        <v>362</v>
      </c>
      <c r="C25" t="str">
        <f t="shared" si="1"/>
        <v>තෙලකීරිය</v>
      </c>
      <c r="D25" s="35" t="str">
        <f t="shared" si="0"/>
        <v>Excoecaria agallocha</v>
      </c>
      <c r="E25">
        <v>14.43</v>
      </c>
      <c r="F25">
        <v>0.72</v>
      </c>
      <c r="G25" t="s">
        <v>12</v>
      </c>
      <c r="J25">
        <v>4</v>
      </c>
      <c r="K25">
        <v>3</v>
      </c>
      <c r="L25">
        <v>1</v>
      </c>
      <c r="O25" s="9">
        <f t="shared" si="2"/>
        <v>0.12508951541635102</v>
      </c>
      <c r="P25" s="9">
        <f t="shared" si="3"/>
        <v>0.11258056387471592</v>
      </c>
      <c r="R25">
        <f t="shared" si="4"/>
        <v>0.9</v>
      </c>
      <c r="T25">
        <f t="shared" si="5"/>
        <v>-0.22949521273446785</v>
      </c>
    </row>
    <row r="26" spans="2:20" x14ac:dyDescent="0.25">
      <c r="B26">
        <v>363</v>
      </c>
      <c r="C26" t="str">
        <f t="shared" si="1"/>
        <v>තෙලකීරිය</v>
      </c>
      <c r="D26" s="35" t="str">
        <f t="shared" si="0"/>
        <v>Excoecaria agallocha</v>
      </c>
      <c r="E26">
        <v>10.81</v>
      </c>
      <c r="F26">
        <v>1.1000000000000001</v>
      </c>
      <c r="G26" t="s">
        <v>12</v>
      </c>
      <c r="J26">
        <v>4</v>
      </c>
      <c r="K26">
        <v>6</v>
      </c>
      <c r="L26">
        <v>2</v>
      </c>
      <c r="O26" s="9">
        <f t="shared" si="2"/>
        <v>0.14155213345046355</v>
      </c>
      <c r="P26" s="9">
        <f t="shared" si="3"/>
        <v>0.1273969201054172</v>
      </c>
      <c r="R26">
        <f t="shared" si="4"/>
        <v>0.9</v>
      </c>
      <c r="T26">
        <f t="shared" si="5"/>
        <v>-0.22949521273446785</v>
      </c>
    </row>
    <row r="27" spans="2:20" x14ac:dyDescent="0.25">
      <c r="B27">
        <v>364</v>
      </c>
      <c r="C27" t="str">
        <f t="shared" si="1"/>
        <v>තෙලකීරිය</v>
      </c>
      <c r="D27" s="35" t="str">
        <f t="shared" si="0"/>
        <v>Excoecaria agallocha</v>
      </c>
      <c r="E27">
        <v>17.510000000000002</v>
      </c>
      <c r="F27">
        <v>1.1000000000000001</v>
      </c>
      <c r="G27" t="s">
        <v>12</v>
      </c>
      <c r="J27">
        <v>4</v>
      </c>
      <c r="K27">
        <v>5</v>
      </c>
      <c r="L27">
        <v>1</v>
      </c>
      <c r="O27" s="9">
        <f t="shared" si="2"/>
        <v>0.22018219328577732</v>
      </c>
      <c r="P27" s="9">
        <f t="shared" si="3"/>
        <v>0.19816397395719959</v>
      </c>
      <c r="R27">
        <f t="shared" si="4"/>
        <v>0.9</v>
      </c>
      <c r="T27">
        <f t="shared" si="5"/>
        <v>-0.22949521273446785</v>
      </c>
    </row>
    <row r="28" spans="2:20" x14ac:dyDescent="0.25">
      <c r="B28">
        <v>365</v>
      </c>
      <c r="C28" t="str">
        <f t="shared" si="1"/>
        <v>තෙලකීරිය</v>
      </c>
      <c r="D28" s="35" t="str">
        <f t="shared" si="0"/>
        <v>Excoecaria agallocha</v>
      </c>
      <c r="E28">
        <v>12.15</v>
      </c>
      <c r="F28">
        <v>0.9</v>
      </c>
      <c r="G28" t="s">
        <v>12</v>
      </c>
      <c r="J28">
        <v>4</v>
      </c>
      <c r="K28">
        <v>2</v>
      </c>
      <c r="L28">
        <v>1</v>
      </c>
      <c r="O28" s="9">
        <f t="shared" si="2"/>
        <v>0.1310914578843741</v>
      </c>
      <c r="P28" s="9">
        <f t="shared" si="3"/>
        <v>0.11798231209593669</v>
      </c>
      <c r="R28">
        <f t="shared" si="4"/>
        <v>0.9</v>
      </c>
      <c r="T28">
        <f t="shared" si="5"/>
        <v>-0.22949521273446785</v>
      </c>
    </row>
    <row r="29" spans="2:20" x14ac:dyDescent="0.25">
      <c r="B29">
        <v>366</v>
      </c>
      <c r="C29" t="str">
        <f t="shared" si="1"/>
        <v>තෙලකීරිය</v>
      </c>
      <c r="D29" s="35" t="str">
        <f t="shared" si="0"/>
        <v>Excoecaria agallocha</v>
      </c>
      <c r="E29">
        <v>11.53</v>
      </c>
      <c r="F29">
        <v>1.1000000000000001</v>
      </c>
      <c r="G29" t="s">
        <v>12</v>
      </c>
      <c r="J29">
        <v>4</v>
      </c>
      <c r="K29">
        <v>4</v>
      </c>
      <c r="L29">
        <v>1</v>
      </c>
      <c r="O29" s="9">
        <f t="shared" si="2"/>
        <v>0.15016465726024081</v>
      </c>
      <c r="P29" s="9">
        <f t="shared" si="3"/>
        <v>0.13514819153421673</v>
      </c>
      <c r="R29">
        <f t="shared" si="4"/>
        <v>0.9</v>
      </c>
      <c r="T29">
        <f t="shared" si="5"/>
        <v>-0.22949521273446785</v>
      </c>
    </row>
    <row r="30" spans="2:20" x14ac:dyDescent="0.25">
      <c r="B30">
        <v>367</v>
      </c>
      <c r="C30" t="str">
        <f t="shared" si="1"/>
        <v>බේරිය</v>
      </c>
      <c r="D30" s="35" t="str">
        <f t="shared" si="0"/>
        <v>Lumitzera racemosa</v>
      </c>
      <c r="E30">
        <v>26.19</v>
      </c>
      <c r="F30">
        <v>1.7</v>
      </c>
      <c r="G30" t="s">
        <v>12</v>
      </c>
      <c r="J30">
        <v>1</v>
      </c>
      <c r="K30">
        <v>4</v>
      </c>
      <c r="L30">
        <v>6</v>
      </c>
      <c r="O30" s="9">
        <f t="shared" si="2"/>
        <v>0.71102824764906969</v>
      </c>
      <c r="P30" s="9">
        <f t="shared" si="3"/>
        <v>0.63992542288416276</v>
      </c>
      <c r="R30">
        <f t="shared" si="4"/>
        <v>0.9</v>
      </c>
      <c r="T30">
        <f t="shared" si="5"/>
        <v>-0.22949521273446785</v>
      </c>
    </row>
    <row r="31" spans="2:20" x14ac:dyDescent="0.25">
      <c r="B31">
        <v>368</v>
      </c>
      <c r="C31" t="str">
        <f t="shared" si="1"/>
        <v>බේරිය</v>
      </c>
      <c r="D31" s="35" t="str">
        <f t="shared" si="0"/>
        <v>Lumitzera racemosa</v>
      </c>
      <c r="E31">
        <v>18.829999999999998</v>
      </c>
      <c r="F31">
        <v>1.3</v>
      </c>
      <c r="G31" t="s">
        <v>12</v>
      </c>
      <c r="J31">
        <v>1</v>
      </c>
      <c r="K31">
        <v>6</v>
      </c>
      <c r="L31">
        <v>8</v>
      </c>
      <c r="O31" s="9">
        <f t="shared" si="2"/>
        <v>0.41107260008462349</v>
      </c>
      <c r="P31" s="9">
        <f t="shared" si="3"/>
        <v>0.36996534007616116</v>
      </c>
      <c r="R31">
        <f t="shared" si="4"/>
        <v>0.9</v>
      </c>
      <c r="T31">
        <f t="shared" si="5"/>
        <v>-0.22949521273446785</v>
      </c>
    </row>
    <row r="32" spans="2:20" x14ac:dyDescent="0.25">
      <c r="B32">
        <v>369</v>
      </c>
      <c r="C32" t="str">
        <f t="shared" si="1"/>
        <v>බේරිය</v>
      </c>
      <c r="D32" s="35" t="str">
        <f t="shared" si="0"/>
        <v>Lumitzera racemosa</v>
      </c>
      <c r="E32">
        <v>2.1</v>
      </c>
      <c r="F32">
        <v>0.85</v>
      </c>
      <c r="G32" t="s">
        <v>12</v>
      </c>
      <c r="J32">
        <v>1</v>
      </c>
      <c r="K32">
        <v>4</v>
      </c>
      <c r="L32">
        <v>5</v>
      </c>
      <c r="O32" s="9">
        <f t="shared" si="2"/>
        <v>3.7349443566634173E-2</v>
      </c>
      <c r="P32" s="9">
        <f t="shared" si="3"/>
        <v>3.3614499209970755E-2</v>
      </c>
      <c r="R32">
        <f t="shared" si="4"/>
        <v>0.9</v>
      </c>
      <c r="T32">
        <f t="shared" si="5"/>
        <v>-0.22949521273446785</v>
      </c>
    </row>
    <row r="33" spans="2:20" x14ac:dyDescent="0.25">
      <c r="B33">
        <v>370</v>
      </c>
      <c r="C33" t="str">
        <f t="shared" si="1"/>
        <v>තෙලකීරිය</v>
      </c>
      <c r="D33" s="35" t="str">
        <f t="shared" si="0"/>
        <v>Excoecaria agallocha</v>
      </c>
      <c r="E33">
        <v>2.25</v>
      </c>
      <c r="F33">
        <v>1</v>
      </c>
      <c r="G33" t="s">
        <v>12</v>
      </c>
      <c r="J33">
        <v>4</v>
      </c>
      <c r="K33">
        <v>5</v>
      </c>
      <c r="L33">
        <v>4</v>
      </c>
      <c r="O33" s="9">
        <f t="shared" si="2"/>
        <v>3.0804599777921472E-2</v>
      </c>
      <c r="P33" s="9">
        <f t="shared" si="3"/>
        <v>2.7724139800129326E-2</v>
      </c>
      <c r="R33">
        <f t="shared" si="4"/>
        <v>0.9</v>
      </c>
      <c r="T33">
        <f t="shared" si="5"/>
        <v>-0.22949521273446785</v>
      </c>
    </row>
    <row r="34" spans="2:20" x14ac:dyDescent="0.25">
      <c r="B34">
        <v>371</v>
      </c>
      <c r="C34" t="str">
        <f t="shared" si="1"/>
        <v>තෙලකීරිය</v>
      </c>
      <c r="D34" s="35" t="str">
        <f t="shared" si="0"/>
        <v>Excoecaria agallocha</v>
      </c>
      <c r="E34">
        <v>1</v>
      </c>
      <c r="F34">
        <v>1.4</v>
      </c>
      <c r="G34" t="s">
        <v>12</v>
      </c>
      <c r="J34">
        <v>4</v>
      </c>
      <c r="K34">
        <v>6</v>
      </c>
      <c r="L34">
        <v>1</v>
      </c>
      <c r="O34" s="9">
        <f t="shared" si="2"/>
        <v>1.9946636107612405E-2</v>
      </c>
      <c r="P34" s="9">
        <f t="shared" si="3"/>
        <v>1.7951972496851164E-2</v>
      </c>
      <c r="R34">
        <f t="shared" si="4"/>
        <v>0.9</v>
      </c>
      <c r="T34">
        <f t="shared" si="5"/>
        <v>-0.22949521273446785</v>
      </c>
    </row>
    <row r="35" spans="2:20" x14ac:dyDescent="0.25">
      <c r="B35">
        <v>372</v>
      </c>
      <c r="C35" t="str">
        <f t="shared" si="1"/>
        <v>තෙලකීරිය</v>
      </c>
      <c r="D35" s="35" t="str">
        <f t="shared" si="0"/>
        <v>Excoecaria agallocha</v>
      </c>
      <c r="E35">
        <v>26.63</v>
      </c>
      <c r="F35">
        <v>1.1000000000000001</v>
      </c>
      <c r="G35" t="s">
        <v>12</v>
      </c>
      <c r="J35">
        <v>4</v>
      </c>
      <c r="K35">
        <v>2</v>
      </c>
      <c r="L35">
        <v>1</v>
      </c>
      <c r="O35" s="9">
        <f t="shared" si="2"/>
        <v>0.32327496410777307</v>
      </c>
      <c r="P35" s="9">
        <f t="shared" si="3"/>
        <v>0.29094746769699575</v>
      </c>
      <c r="R35">
        <f t="shared" si="4"/>
        <v>0.9</v>
      </c>
      <c r="T35">
        <f t="shared" si="5"/>
        <v>-0.22949521273446785</v>
      </c>
    </row>
    <row r="36" spans="2:20" x14ac:dyDescent="0.25">
      <c r="B36">
        <v>373</v>
      </c>
      <c r="C36" t="str">
        <f t="shared" si="1"/>
        <v>තෙලකීරිය</v>
      </c>
      <c r="D36" s="35" t="str">
        <f t="shared" si="0"/>
        <v>Excoecaria agallocha</v>
      </c>
      <c r="E36">
        <v>10.55</v>
      </c>
      <c r="F36">
        <v>0.8</v>
      </c>
      <c r="G36" t="s">
        <v>12</v>
      </c>
      <c r="J36">
        <v>4</v>
      </c>
      <c r="K36">
        <v>3</v>
      </c>
      <c r="L36">
        <v>1</v>
      </c>
      <c r="O36" s="9">
        <f t="shared" si="2"/>
        <v>0.10340607770223822</v>
      </c>
      <c r="P36" s="9">
        <f t="shared" si="3"/>
        <v>9.3065469932014408E-2</v>
      </c>
      <c r="R36">
        <f t="shared" si="4"/>
        <v>0.9</v>
      </c>
      <c r="T36">
        <f t="shared" si="5"/>
        <v>-0.22949521273446785</v>
      </c>
    </row>
    <row r="37" spans="2:20" x14ac:dyDescent="0.25">
      <c r="B37">
        <v>374</v>
      </c>
      <c r="C37" t="str">
        <f t="shared" si="1"/>
        <v>තෙලකීරිය</v>
      </c>
      <c r="D37" s="35" t="str">
        <f t="shared" si="0"/>
        <v>Excoecaria agallocha</v>
      </c>
      <c r="E37">
        <v>12.52</v>
      </c>
      <c r="F37">
        <v>0.75</v>
      </c>
      <c r="G37" t="s">
        <v>12</v>
      </c>
      <c r="J37">
        <v>4</v>
      </c>
      <c r="K37">
        <v>4</v>
      </c>
      <c r="L37">
        <v>1</v>
      </c>
      <c r="O37" s="9">
        <f t="shared" si="2"/>
        <v>0.11401922024269036</v>
      </c>
      <c r="P37" s="9">
        <f t="shared" si="3"/>
        <v>0.10261729821842132</v>
      </c>
      <c r="R37">
        <f t="shared" si="4"/>
        <v>0.9</v>
      </c>
      <c r="T37">
        <f t="shared" si="5"/>
        <v>-0.22949521273446785</v>
      </c>
    </row>
    <row r="38" spans="2:20" x14ac:dyDescent="0.25">
      <c r="B38">
        <v>375</v>
      </c>
      <c r="C38" t="str">
        <f t="shared" si="1"/>
        <v>තෙලකීරිය</v>
      </c>
      <c r="D38" s="35" t="str">
        <f t="shared" si="0"/>
        <v>Excoecaria agallocha</v>
      </c>
      <c r="E38">
        <v>3.18</v>
      </c>
      <c r="F38">
        <v>1</v>
      </c>
      <c r="G38" t="s">
        <v>12</v>
      </c>
      <c r="J38">
        <v>4</v>
      </c>
      <c r="K38">
        <v>3</v>
      </c>
      <c r="L38">
        <v>1</v>
      </c>
      <c r="O38" s="9">
        <f t="shared" si="2"/>
        <v>4.2290188994047989E-2</v>
      </c>
      <c r="P38" s="9">
        <f t="shared" si="3"/>
        <v>3.8061170094643194E-2</v>
      </c>
      <c r="R38">
        <f t="shared" si="4"/>
        <v>0.9</v>
      </c>
      <c r="T38">
        <f t="shared" si="5"/>
        <v>-0.22949521273446785</v>
      </c>
    </row>
    <row r="39" spans="2:20" x14ac:dyDescent="0.25">
      <c r="B39">
        <v>376</v>
      </c>
      <c r="C39" t="str">
        <f t="shared" si="1"/>
        <v>බේරිය</v>
      </c>
      <c r="D39" s="35" t="str">
        <f t="shared" si="0"/>
        <v>Lumitzera racemosa</v>
      </c>
      <c r="E39">
        <v>11.19</v>
      </c>
      <c r="F39">
        <v>0.82</v>
      </c>
      <c r="G39" t="s">
        <v>12</v>
      </c>
      <c r="J39">
        <v>1</v>
      </c>
      <c r="K39">
        <v>6</v>
      </c>
      <c r="L39">
        <v>1</v>
      </c>
      <c r="O39" s="9">
        <f t="shared" si="2"/>
        <v>0.16732674937399031</v>
      </c>
      <c r="P39" s="9">
        <f t="shared" si="3"/>
        <v>0.15059407443659129</v>
      </c>
      <c r="R39">
        <f t="shared" si="4"/>
        <v>0.9</v>
      </c>
      <c r="T39">
        <f t="shared" si="5"/>
        <v>-0.22949521273446785</v>
      </c>
    </row>
    <row r="40" spans="2:20" x14ac:dyDescent="0.25">
      <c r="B40">
        <v>377</v>
      </c>
      <c r="C40" t="str">
        <f t="shared" si="1"/>
        <v>බේරිය</v>
      </c>
      <c r="D40" s="35" t="str">
        <f t="shared" si="0"/>
        <v>Lumitzera racemosa</v>
      </c>
      <c r="E40">
        <v>24.42</v>
      </c>
      <c r="F40">
        <v>1</v>
      </c>
      <c r="G40" t="s">
        <v>12</v>
      </c>
      <c r="J40">
        <v>1</v>
      </c>
      <c r="K40">
        <v>2</v>
      </c>
      <c r="L40">
        <v>1</v>
      </c>
      <c r="O40" s="9">
        <f t="shared" si="2"/>
        <v>0.41016495440963119</v>
      </c>
      <c r="P40" s="9">
        <f t="shared" si="3"/>
        <v>0.3691484589686681</v>
      </c>
      <c r="R40">
        <f t="shared" si="4"/>
        <v>0.9</v>
      </c>
      <c r="T40">
        <f t="shared" si="5"/>
        <v>-0.22949521273446785</v>
      </c>
    </row>
    <row r="41" spans="2:20" x14ac:dyDescent="0.25">
      <c r="B41">
        <v>378</v>
      </c>
      <c r="C41" t="str">
        <f t="shared" si="1"/>
        <v>බේරිය</v>
      </c>
      <c r="D41" s="35" t="str">
        <f t="shared" si="0"/>
        <v>Lumitzera racemosa</v>
      </c>
      <c r="E41">
        <v>12.68</v>
      </c>
      <c r="F41">
        <v>1</v>
      </c>
      <c r="G41" t="s">
        <v>12</v>
      </c>
      <c r="J41">
        <v>1</v>
      </c>
      <c r="K41">
        <v>1</v>
      </c>
      <c r="L41">
        <v>1</v>
      </c>
      <c r="O41" s="9">
        <f t="shared" si="2"/>
        <v>0.22503017731111305</v>
      </c>
      <c r="P41" s="9">
        <f t="shared" si="3"/>
        <v>0.20252715958000175</v>
      </c>
      <c r="R41">
        <f t="shared" si="4"/>
        <v>0.9</v>
      </c>
      <c r="T41">
        <f t="shared" si="5"/>
        <v>-0.22949521273446785</v>
      </c>
    </row>
    <row r="42" spans="2:20" x14ac:dyDescent="0.25">
      <c r="B42">
        <v>379</v>
      </c>
      <c r="C42" t="str">
        <f t="shared" si="1"/>
        <v>තෙලකීරිය</v>
      </c>
      <c r="D42" s="35" t="str">
        <f t="shared" si="0"/>
        <v>Excoecaria agallocha</v>
      </c>
      <c r="E42">
        <v>10.16</v>
      </c>
      <c r="F42">
        <v>1</v>
      </c>
      <c r="G42" t="s">
        <v>12</v>
      </c>
      <c r="J42">
        <v>4</v>
      </c>
      <c r="K42">
        <v>1</v>
      </c>
      <c r="L42">
        <v>1</v>
      </c>
      <c r="O42" s="9">
        <f t="shared" si="2"/>
        <v>0.12255499612824577</v>
      </c>
      <c r="P42" s="9">
        <f t="shared" si="3"/>
        <v>0.1102994965154212</v>
      </c>
      <c r="R42">
        <f t="shared" si="4"/>
        <v>0.9</v>
      </c>
      <c r="T42">
        <f t="shared" si="5"/>
        <v>-0.22949521273446785</v>
      </c>
    </row>
    <row r="44" spans="2:20" ht="60" x14ac:dyDescent="0.25">
      <c r="O44" s="22" t="s">
        <v>106</v>
      </c>
      <c r="P44" s="23">
        <f>SUM(P4:P42)</f>
        <v>9.1173845729132506</v>
      </c>
      <c r="Q44" s="66" t="s">
        <v>169</v>
      </c>
      <c r="R44">
        <f>AVERAGE(R4:R42)</f>
        <v>0.90512820512820447</v>
      </c>
    </row>
    <row r="45" spans="2:20" x14ac:dyDescent="0.25">
      <c r="Q45" t="s">
        <v>170</v>
      </c>
      <c r="R45">
        <f>STDEV(R4:R42)</f>
        <v>2.2345586503095885E-2</v>
      </c>
    </row>
    <row r="47" spans="2:20" x14ac:dyDescent="0.25">
      <c r="O47" s="27" t="s">
        <v>97</v>
      </c>
      <c r="P47" s="27"/>
      <c r="Q47" s="27"/>
      <c r="R47" s="27"/>
      <c r="S47" s="27"/>
    </row>
    <row r="48" spans="2:20" x14ac:dyDescent="0.25">
      <c r="O48" s="27" t="s">
        <v>107</v>
      </c>
      <c r="P48" s="27">
        <f>1.24*P44</f>
        <v>11.305556870412431</v>
      </c>
      <c r="Q48" s="27"/>
      <c r="R48" s="27"/>
      <c r="S48" s="27"/>
    </row>
    <row r="49" spans="15:19" x14ac:dyDescent="0.25">
      <c r="O49" s="27"/>
      <c r="P49" s="27"/>
      <c r="Q49" s="27"/>
      <c r="R49" s="27"/>
      <c r="S49" s="27"/>
    </row>
    <row r="50" spans="15:19" x14ac:dyDescent="0.25">
      <c r="O50" s="27"/>
      <c r="P50" s="27"/>
      <c r="Q50" s="27"/>
      <c r="R50" s="27"/>
      <c r="S50" s="27"/>
    </row>
    <row r="51" spans="15:19" x14ac:dyDescent="0.25">
      <c r="O51" s="27" t="s">
        <v>109</v>
      </c>
      <c r="P51" s="27"/>
      <c r="Q51" s="27"/>
      <c r="R51" s="27"/>
      <c r="S51" s="27"/>
    </row>
    <row r="52" spans="15:19" ht="30" x14ac:dyDescent="0.25">
      <c r="O52" s="26" t="s">
        <v>108</v>
      </c>
      <c r="P52" s="27">
        <f>1.2*P48</f>
        <v>13.566668244494917</v>
      </c>
      <c r="Q52" s="27"/>
      <c r="R52" s="27"/>
      <c r="S52" s="27"/>
    </row>
    <row r="53" spans="15:19" x14ac:dyDescent="0.25">
      <c r="O53" s="27"/>
      <c r="P53" s="27"/>
      <c r="Q53" s="27"/>
      <c r="R53" s="27"/>
      <c r="S53" s="27"/>
    </row>
    <row r="55" spans="15:19" ht="30" x14ac:dyDescent="0.25">
      <c r="O55" s="49" t="s">
        <v>135</v>
      </c>
      <c r="P55" s="44" t="s">
        <v>136</v>
      </c>
    </row>
    <row r="56" spans="15:19" ht="30" x14ac:dyDescent="0.25">
      <c r="O56" s="46" t="s">
        <v>138</v>
      </c>
      <c r="P56" s="45">
        <f>1.83*P48</f>
        <v>20.689169072854749</v>
      </c>
    </row>
  </sheetData>
  <mergeCells count="2">
    <mergeCell ref="A1:L1"/>
    <mergeCell ref="A2:L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topLeftCell="J1" zoomScale="70" zoomScaleNormal="70" workbookViewId="0">
      <selection activeCell="V24" sqref="V24"/>
    </sheetView>
  </sheetViews>
  <sheetFormatPr defaultRowHeight="15" x14ac:dyDescent="0.25"/>
  <cols>
    <col min="3" max="3" width="21" customWidth="1"/>
    <col min="4" max="4" width="23" customWidth="1"/>
    <col min="5" max="5" width="14.5703125" customWidth="1"/>
    <col min="6" max="6" width="15" customWidth="1"/>
    <col min="7" max="7" width="20" customWidth="1"/>
    <col min="8" max="8" width="15.85546875" customWidth="1"/>
    <col min="11" max="12" width="14.5703125" customWidth="1"/>
    <col min="15" max="15" width="25.7109375" customWidth="1"/>
    <col min="16" max="16" width="15.140625" customWidth="1"/>
    <col min="17" max="17" width="17.42578125" customWidth="1"/>
    <col min="18" max="18" width="15.28515625" customWidth="1"/>
    <col min="20" max="20" width="12.85546875" customWidth="1"/>
  </cols>
  <sheetData>
    <row r="1" spans="1:20" x14ac:dyDescent="0.25">
      <c r="A1" s="77" t="s">
        <v>15</v>
      </c>
      <c r="B1" s="77"/>
      <c r="C1" s="77"/>
      <c r="D1" s="77"/>
      <c r="E1" s="77"/>
      <c r="F1" s="77"/>
      <c r="G1" s="77"/>
      <c r="H1" s="77"/>
      <c r="I1" s="77"/>
      <c r="J1" s="77"/>
      <c r="K1" s="77"/>
      <c r="L1" s="77"/>
    </row>
    <row r="2" spans="1:20" x14ac:dyDescent="0.25">
      <c r="A2" s="78" t="s">
        <v>20</v>
      </c>
      <c r="B2" s="78"/>
      <c r="C2" s="78"/>
      <c r="D2" s="78"/>
      <c r="E2" s="78"/>
      <c r="F2" s="78"/>
      <c r="G2" s="78"/>
      <c r="H2" s="78"/>
      <c r="I2" s="78"/>
      <c r="J2" s="78"/>
      <c r="K2" s="78"/>
      <c r="L2" s="78"/>
    </row>
    <row r="3" spans="1:20" ht="60" x14ac:dyDescent="0.25">
      <c r="A3" s="2" t="s">
        <v>0</v>
      </c>
      <c r="B3" s="2" t="s">
        <v>1</v>
      </c>
      <c r="C3" s="2" t="s">
        <v>2</v>
      </c>
      <c r="D3" s="2" t="s">
        <v>3</v>
      </c>
      <c r="E3" s="2" t="s">
        <v>4</v>
      </c>
      <c r="F3" s="2" t="s">
        <v>10</v>
      </c>
      <c r="G3" s="2" t="s">
        <v>11</v>
      </c>
      <c r="H3" s="1" t="s">
        <v>5</v>
      </c>
      <c r="I3" s="2" t="s">
        <v>6</v>
      </c>
      <c r="J3" s="2" t="s">
        <v>7</v>
      </c>
      <c r="K3" s="2" t="s">
        <v>8</v>
      </c>
      <c r="L3" s="2" t="s">
        <v>9</v>
      </c>
      <c r="O3" s="13" t="s">
        <v>79</v>
      </c>
      <c r="P3" s="18" t="s">
        <v>80</v>
      </c>
      <c r="R3" s="66" t="s">
        <v>168</v>
      </c>
      <c r="T3" s="66" t="s">
        <v>171</v>
      </c>
    </row>
    <row r="4" spans="1:20" x14ac:dyDescent="0.25">
      <c r="A4">
        <v>10</v>
      </c>
      <c r="B4">
        <v>311</v>
      </c>
      <c r="C4" t="str">
        <f>IF(J4=1,"බේරිය",IF(J4=2,"මණ්ඩ",IF(J4=3,"කඩොල්",IF(J4=4,"තෙලකීරිය","හීන් කඩොල්/ ඇවරි කඩොල්"))))</f>
        <v>තෙලකීරිය</v>
      </c>
      <c r="D4" s="35" t="str">
        <f t="shared" ref="D4:D19" si="0">IF(J4=1,"Lumitzera racemosa",IF(J4=2,"Avicenia marina",IF(J4=3,"Rhizophora spp.",IF(J4=4,"Excoecaria agallocha","Aegiceras corniculatum"))))</f>
        <v>Excoecaria agallocha</v>
      </c>
      <c r="E4">
        <v>41.16</v>
      </c>
      <c r="F4">
        <v>0.92</v>
      </c>
      <c r="G4" t="s">
        <v>13</v>
      </c>
      <c r="J4">
        <v>4</v>
      </c>
      <c r="K4">
        <v>1</v>
      </c>
      <c r="L4">
        <v>15</v>
      </c>
      <c r="O4" s="9">
        <f>0.251*(IF(J4=1,0.7,IF(J4=2,0.58,IF(J4=3,0.62,IF(J4=4,0.45,0.55))))*E4/10*F4)^0.916</f>
        <v>0.40898320059947074</v>
      </c>
      <c r="P4" s="9">
        <f>O4*IF(G4="A",1,IF(G4="B",0.9,IF(G4="C",0.75,0.5)))</f>
        <v>0.40898320059947074</v>
      </c>
      <c r="R4">
        <f>IF(G4="A",1,IF(G4="B",0.9,IF(G4="C",0.75,0.5)))</f>
        <v>1</v>
      </c>
      <c r="T4">
        <f>STANDARDIZE(R4,$R$21,$R$22)</f>
        <v>1.0978875820670986</v>
      </c>
    </row>
    <row r="5" spans="1:20" x14ac:dyDescent="0.25">
      <c r="B5">
        <v>312</v>
      </c>
      <c r="C5" t="str">
        <f t="shared" ref="C5:C19" si="1">IF(J5=1,"බේරිය",IF(J5=2,"මණ්ඩ",IF(J5=3,"කඩොල්",IF(J5=4,"තෙලකීරිය","හීන් කඩොල්/ ඇවරි කඩොල්"))))</f>
        <v>තෙලකීරිය</v>
      </c>
      <c r="D5" s="35" t="str">
        <f t="shared" si="0"/>
        <v>Excoecaria agallocha</v>
      </c>
      <c r="E5">
        <v>46.39</v>
      </c>
      <c r="F5">
        <v>1.02</v>
      </c>
      <c r="G5" t="s">
        <v>12</v>
      </c>
      <c r="J5">
        <v>4</v>
      </c>
      <c r="K5">
        <v>1</v>
      </c>
      <c r="L5">
        <v>5</v>
      </c>
      <c r="O5" s="9">
        <f t="shared" ref="O5:O19" si="2">0.251*(IF(J5=1,0.7,IF(J5=2,0.58,IF(J5=3,0.62,IF(J5=4,0.45,0.55))))*E5/10*F5)^0.916</f>
        <v>0.50157844725571699</v>
      </c>
      <c r="P5" s="9">
        <f t="shared" ref="P5:P19" si="3">O5*IF(G5="A",1,IF(G5="B",0.9,IF(G5="C",0.75,0.5)))</f>
        <v>0.45142060253014532</v>
      </c>
      <c r="R5">
        <f t="shared" ref="R5:R19" si="4">IF(G5="A",1,IF(G5="B",0.9,IF(G5="C",0.75,0.5)))</f>
        <v>0.9</v>
      </c>
      <c r="T5">
        <f t="shared" ref="T5:T19" si="5">STANDARDIZE(R5,$R$21,$R$22)</f>
        <v>-0.85391256382996816</v>
      </c>
    </row>
    <row r="6" spans="1:20" x14ac:dyDescent="0.25">
      <c r="B6">
        <v>313</v>
      </c>
      <c r="C6" t="str">
        <f t="shared" si="1"/>
        <v>තෙලකීරිය</v>
      </c>
      <c r="D6" s="35" t="str">
        <f t="shared" si="0"/>
        <v>Excoecaria agallocha</v>
      </c>
      <c r="E6">
        <v>30.88</v>
      </c>
      <c r="F6">
        <v>0.88</v>
      </c>
      <c r="G6" t="s">
        <v>12</v>
      </c>
      <c r="J6">
        <v>4</v>
      </c>
      <c r="K6">
        <v>2</v>
      </c>
      <c r="L6">
        <v>6</v>
      </c>
      <c r="O6" s="9">
        <f t="shared" si="2"/>
        <v>0.30179143558691224</v>
      </c>
      <c r="P6" s="9">
        <f t="shared" si="3"/>
        <v>0.27161229202822101</v>
      </c>
      <c r="R6">
        <f t="shared" si="4"/>
        <v>0.9</v>
      </c>
      <c r="T6">
        <f t="shared" si="5"/>
        <v>-0.85391256382996816</v>
      </c>
    </row>
    <row r="7" spans="1:20" x14ac:dyDescent="0.25">
      <c r="B7">
        <v>314</v>
      </c>
      <c r="C7" t="str">
        <f t="shared" si="1"/>
        <v>තෙලකීරිය</v>
      </c>
      <c r="D7" s="35" t="str">
        <f t="shared" si="0"/>
        <v>Excoecaria agallocha</v>
      </c>
      <c r="E7">
        <v>32.880000000000003</v>
      </c>
      <c r="F7">
        <v>0.93</v>
      </c>
      <c r="G7" t="s">
        <v>12</v>
      </c>
      <c r="J7">
        <v>4</v>
      </c>
      <c r="K7">
        <v>1</v>
      </c>
      <c r="L7">
        <v>7</v>
      </c>
      <c r="O7" s="9">
        <f t="shared" si="2"/>
        <v>0.33624536144750478</v>
      </c>
      <c r="P7" s="9">
        <f t="shared" si="3"/>
        <v>0.3026208253027543</v>
      </c>
      <c r="R7">
        <f t="shared" si="4"/>
        <v>0.9</v>
      </c>
      <c r="T7">
        <f t="shared" si="5"/>
        <v>-0.85391256382996816</v>
      </c>
    </row>
    <row r="8" spans="1:20" x14ac:dyDescent="0.25">
      <c r="B8">
        <v>315</v>
      </c>
      <c r="C8" t="str">
        <f t="shared" si="1"/>
        <v>තෙලකීරිය</v>
      </c>
      <c r="D8" s="35" t="str">
        <f t="shared" si="0"/>
        <v>Excoecaria agallocha</v>
      </c>
      <c r="E8">
        <v>54.31</v>
      </c>
      <c r="F8">
        <v>1.25</v>
      </c>
      <c r="G8" t="s">
        <v>12</v>
      </c>
      <c r="J8">
        <v>4</v>
      </c>
      <c r="K8">
        <v>1</v>
      </c>
      <c r="L8">
        <v>6</v>
      </c>
      <c r="O8" s="9">
        <f t="shared" si="2"/>
        <v>0.69812928384004491</v>
      </c>
      <c r="P8" s="9">
        <f t="shared" si="3"/>
        <v>0.62831635545604048</v>
      </c>
      <c r="R8">
        <f t="shared" si="4"/>
        <v>0.9</v>
      </c>
      <c r="T8">
        <f t="shared" si="5"/>
        <v>-0.85391256382996816</v>
      </c>
    </row>
    <row r="9" spans="1:20" x14ac:dyDescent="0.25">
      <c r="B9">
        <v>316</v>
      </c>
      <c r="C9" t="str">
        <f t="shared" si="1"/>
        <v>තෙලකීරිය</v>
      </c>
      <c r="D9" s="35" t="str">
        <f t="shared" si="0"/>
        <v>Excoecaria agallocha</v>
      </c>
      <c r="E9">
        <v>45.91</v>
      </c>
      <c r="F9">
        <v>1.35</v>
      </c>
      <c r="G9" t="s">
        <v>12</v>
      </c>
      <c r="J9">
        <v>4</v>
      </c>
      <c r="K9">
        <v>2</v>
      </c>
      <c r="L9">
        <v>12</v>
      </c>
      <c r="O9" s="9">
        <f t="shared" si="2"/>
        <v>0.64225751737181602</v>
      </c>
      <c r="P9" s="9">
        <f t="shared" si="3"/>
        <v>0.57803176563463443</v>
      </c>
      <c r="R9">
        <f t="shared" si="4"/>
        <v>0.9</v>
      </c>
      <c r="T9">
        <f t="shared" si="5"/>
        <v>-0.85391256382996816</v>
      </c>
    </row>
    <row r="10" spans="1:20" x14ac:dyDescent="0.25">
      <c r="B10">
        <v>317</v>
      </c>
      <c r="C10" t="str">
        <f t="shared" si="1"/>
        <v>තෙලකීරිය</v>
      </c>
      <c r="D10" s="35" t="str">
        <f t="shared" si="0"/>
        <v>Excoecaria agallocha</v>
      </c>
      <c r="E10">
        <v>41.41</v>
      </c>
      <c r="F10">
        <v>1.1000000000000001</v>
      </c>
      <c r="G10" t="s">
        <v>13</v>
      </c>
      <c r="J10">
        <v>4</v>
      </c>
      <c r="K10">
        <v>1</v>
      </c>
      <c r="L10">
        <v>5</v>
      </c>
      <c r="O10" s="9">
        <f t="shared" si="2"/>
        <v>0.4843959181713014</v>
      </c>
      <c r="P10" s="9">
        <f t="shared" si="3"/>
        <v>0.4843959181713014</v>
      </c>
      <c r="R10">
        <f t="shared" si="4"/>
        <v>1</v>
      </c>
      <c r="T10">
        <f t="shared" si="5"/>
        <v>1.0978875820670986</v>
      </c>
    </row>
    <row r="11" spans="1:20" x14ac:dyDescent="0.25">
      <c r="B11">
        <v>318</v>
      </c>
      <c r="C11" t="str">
        <f t="shared" si="1"/>
        <v>තෙලකීරිය</v>
      </c>
      <c r="D11" s="35" t="str">
        <f t="shared" si="0"/>
        <v>Excoecaria agallocha</v>
      </c>
      <c r="E11">
        <v>45.48</v>
      </c>
      <c r="F11">
        <v>1.1000000000000001</v>
      </c>
      <c r="G11" t="s">
        <v>13</v>
      </c>
      <c r="J11">
        <v>4</v>
      </c>
      <c r="K11">
        <v>1</v>
      </c>
      <c r="L11">
        <v>7</v>
      </c>
      <c r="O11" s="9">
        <f t="shared" si="2"/>
        <v>0.52783188511908519</v>
      </c>
      <c r="P11" s="9">
        <f t="shared" si="3"/>
        <v>0.52783188511908519</v>
      </c>
      <c r="R11">
        <f t="shared" si="4"/>
        <v>1</v>
      </c>
      <c r="T11">
        <f t="shared" si="5"/>
        <v>1.0978875820670986</v>
      </c>
    </row>
    <row r="12" spans="1:20" x14ac:dyDescent="0.25">
      <c r="B12">
        <v>319</v>
      </c>
      <c r="C12" t="str">
        <f t="shared" si="1"/>
        <v>තෙලකීරිය</v>
      </c>
      <c r="D12" s="35" t="str">
        <f t="shared" si="0"/>
        <v>Excoecaria agallocha</v>
      </c>
      <c r="E12">
        <v>43.31</v>
      </c>
      <c r="F12">
        <v>1.1499999999999999</v>
      </c>
      <c r="G12" t="s">
        <v>13</v>
      </c>
      <c r="J12">
        <v>4</v>
      </c>
      <c r="K12">
        <v>2</v>
      </c>
      <c r="L12">
        <v>6</v>
      </c>
      <c r="O12" s="9">
        <f t="shared" si="2"/>
        <v>0.52569080673946134</v>
      </c>
      <c r="P12" s="9">
        <f t="shared" si="3"/>
        <v>0.52569080673946134</v>
      </c>
      <c r="R12">
        <f t="shared" si="4"/>
        <v>1</v>
      </c>
      <c r="T12">
        <f t="shared" si="5"/>
        <v>1.0978875820670986</v>
      </c>
    </row>
    <row r="13" spans="1:20" x14ac:dyDescent="0.25">
      <c r="B13">
        <v>320</v>
      </c>
      <c r="C13" t="str">
        <f t="shared" si="1"/>
        <v>තෙලකීරිය</v>
      </c>
      <c r="D13" s="35" t="str">
        <f t="shared" si="0"/>
        <v>Excoecaria agallocha</v>
      </c>
      <c r="E13">
        <v>43.16</v>
      </c>
      <c r="F13">
        <v>0.78</v>
      </c>
      <c r="G13" t="s">
        <v>12</v>
      </c>
      <c r="J13">
        <v>4</v>
      </c>
      <c r="K13">
        <v>1</v>
      </c>
      <c r="L13">
        <v>8</v>
      </c>
      <c r="O13" s="9">
        <f t="shared" si="2"/>
        <v>0.36720588734539933</v>
      </c>
      <c r="P13" s="9">
        <f t="shared" si="3"/>
        <v>0.3304852986108594</v>
      </c>
      <c r="R13">
        <f t="shared" si="4"/>
        <v>0.9</v>
      </c>
      <c r="T13">
        <f t="shared" si="5"/>
        <v>-0.85391256382996816</v>
      </c>
    </row>
    <row r="14" spans="1:20" x14ac:dyDescent="0.25">
      <c r="B14">
        <v>321</v>
      </c>
      <c r="C14" t="str">
        <f t="shared" si="1"/>
        <v>තෙලකීරිය</v>
      </c>
      <c r="D14" s="35" t="str">
        <f t="shared" si="0"/>
        <v>Excoecaria agallocha</v>
      </c>
      <c r="E14">
        <v>26.76</v>
      </c>
      <c r="F14">
        <v>0.73</v>
      </c>
      <c r="G14" t="s">
        <v>12</v>
      </c>
      <c r="J14">
        <v>4</v>
      </c>
      <c r="K14">
        <v>1</v>
      </c>
      <c r="L14">
        <v>2</v>
      </c>
      <c r="O14" s="9">
        <f t="shared" si="2"/>
        <v>0.22304752055975891</v>
      </c>
      <c r="P14" s="9">
        <f t="shared" si="3"/>
        <v>0.20074276850378303</v>
      </c>
      <c r="R14">
        <f t="shared" si="4"/>
        <v>0.9</v>
      </c>
      <c r="T14">
        <f t="shared" si="5"/>
        <v>-0.85391256382996816</v>
      </c>
    </row>
    <row r="15" spans="1:20" x14ac:dyDescent="0.25">
      <c r="B15">
        <v>322</v>
      </c>
      <c r="C15" t="str">
        <f t="shared" si="1"/>
        <v>තෙලකීරිය</v>
      </c>
      <c r="D15" s="35" t="str">
        <f t="shared" si="0"/>
        <v>Excoecaria agallocha</v>
      </c>
      <c r="E15">
        <v>27.47</v>
      </c>
      <c r="F15">
        <v>1.06</v>
      </c>
      <c r="G15" t="s">
        <v>12</v>
      </c>
      <c r="J15">
        <v>4</v>
      </c>
      <c r="K15">
        <v>1</v>
      </c>
      <c r="L15">
        <v>10</v>
      </c>
      <c r="O15" s="9">
        <f t="shared" si="2"/>
        <v>0.32150748540311713</v>
      </c>
      <c r="P15" s="9">
        <f t="shared" si="3"/>
        <v>0.28935673686280544</v>
      </c>
      <c r="R15">
        <f t="shared" si="4"/>
        <v>0.9</v>
      </c>
      <c r="T15">
        <f t="shared" si="5"/>
        <v>-0.85391256382996816</v>
      </c>
    </row>
    <row r="16" spans="1:20" x14ac:dyDescent="0.25">
      <c r="B16">
        <v>323</v>
      </c>
      <c r="C16" t="str">
        <f t="shared" si="1"/>
        <v>තෙලකීරිය</v>
      </c>
      <c r="D16" s="35" t="str">
        <f t="shared" si="0"/>
        <v>Excoecaria agallocha</v>
      </c>
      <c r="E16">
        <v>34.5</v>
      </c>
      <c r="F16">
        <v>1.3</v>
      </c>
      <c r="G16" t="s">
        <v>13</v>
      </c>
      <c r="J16">
        <v>4</v>
      </c>
      <c r="K16">
        <v>1</v>
      </c>
      <c r="L16">
        <v>11</v>
      </c>
      <c r="O16" s="9">
        <f t="shared" si="2"/>
        <v>0.47756312554824626</v>
      </c>
      <c r="P16" s="9">
        <f t="shared" si="3"/>
        <v>0.47756312554824626</v>
      </c>
      <c r="R16">
        <f t="shared" si="4"/>
        <v>1</v>
      </c>
      <c r="T16">
        <f t="shared" si="5"/>
        <v>1.0978875820670986</v>
      </c>
    </row>
    <row r="17" spans="2:20" x14ac:dyDescent="0.25">
      <c r="B17">
        <v>324</v>
      </c>
      <c r="C17" t="str">
        <f t="shared" si="1"/>
        <v>තෙලකීරිය</v>
      </c>
      <c r="D17" s="35" t="str">
        <f t="shared" si="0"/>
        <v>Excoecaria agallocha</v>
      </c>
      <c r="E17">
        <v>43.25</v>
      </c>
      <c r="F17">
        <v>1.18</v>
      </c>
      <c r="G17" t="s">
        <v>13</v>
      </c>
      <c r="J17">
        <v>4</v>
      </c>
      <c r="K17">
        <v>2</v>
      </c>
      <c r="L17">
        <v>16</v>
      </c>
      <c r="O17" s="9">
        <f t="shared" si="2"/>
        <v>0.53755583605190749</v>
      </c>
      <c r="P17" s="9">
        <f t="shared" si="3"/>
        <v>0.53755583605190749</v>
      </c>
      <c r="R17">
        <f t="shared" si="4"/>
        <v>1</v>
      </c>
      <c r="T17">
        <f t="shared" si="5"/>
        <v>1.0978875820670986</v>
      </c>
    </row>
    <row r="18" spans="2:20" x14ac:dyDescent="0.25">
      <c r="B18">
        <v>325</v>
      </c>
      <c r="C18" t="str">
        <f t="shared" si="1"/>
        <v>තෙලකීරිය</v>
      </c>
      <c r="D18" s="35" t="str">
        <f t="shared" si="0"/>
        <v>Excoecaria agallocha</v>
      </c>
      <c r="E18">
        <v>54.84</v>
      </c>
      <c r="F18">
        <v>1.58</v>
      </c>
      <c r="G18" t="s">
        <v>12</v>
      </c>
      <c r="J18">
        <v>4</v>
      </c>
      <c r="K18">
        <v>1</v>
      </c>
      <c r="L18">
        <v>11</v>
      </c>
      <c r="O18" s="9">
        <f t="shared" si="2"/>
        <v>0.87297043649663952</v>
      </c>
      <c r="P18" s="9">
        <f t="shared" si="3"/>
        <v>0.78567339284697557</v>
      </c>
      <c r="R18">
        <f t="shared" si="4"/>
        <v>0.9</v>
      </c>
      <c r="T18">
        <f t="shared" si="5"/>
        <v>-0.85391256382996816</v>
      </c>
    </row>
    <row r="19" spans="2:20" x14ac:dyDescent="0.25">
      <c r="B19">
        <v>326</v>
      </c>
      <c r="C19" t="str">
        <f t="shared" si="1"/>
        <v>තෙලකීරිය</v>
      </c>
      <c r="D19" s="35" t="str">
        <f t="shared" si="0"/>
        <v>Excoecaria agallocha</v>
      </c>
      <c r="E19">
        <v>20.86</v>
      </c>
      <c r="F19">
        <v>0.76</v>
      </c>
      <c r="G19" t="s">
        <v>13</v>
      </c>
      <c r="J19">
        <v>4</v>
      </c>
      <c r="K19">
        <v>1</v>
      </c>
      <c r="L19">
        <v>6</v>
      </c>
      <c r="O19" s="9">
        <f t="shared" si="2"/>
        <v>0.18421862531853142</v>
      </c>
      <c r="P19" s="9">
        <f t="shared" si="3"/>
        <v>0.18421862531853142</v>
      </c>
      <c r="R19">
        <f t="shared" si="4"/>
        <v>1</v>
      </c>
      <c r="T19">
        <f t="shared" si="5"/>
        <v>1.0978875820670986</v>
      </c>
    </row>
    <row r="21" spans="2:20" ht="30" x14ac:dyDescent="0.25">
      <c r="O21" s="22" t="s">
        <v>106</v>
      </c>
      <c r="P21" s="23">
        <f>SUM(P4:P19)</f>
        <v>6.9844994353242233</v>
      </c>
      <c r="Q21" s="66" t="s">
        <v>169</v>
      </c>
      <c r="R21">
        <f>AVERAGE(R4:R19)</f>
        <v>0.94375000000000009</v>
      </c>
    </row>
    <row r="22" spans="2:20" x14ac:dyDescent="0.25">
      <c r="Q22" t="s">
        <v>170</v>
      </c>
      <c r="R22">
        <f>STDEV(R4:R19)</f>
        <v>5.1234753829797974E-2</v>
      </c>
    </row>
    <row r="24" spans="2:20" x14ac:dyDescent="0.25">
      <c r="O24" s="21" t="s">
        <v>97</v>
      </c>
      <c r="P24" s="21"/>
      <c r="Q24" s="21"/>
      <c r="R24" s="21"/>
      <c r="S24" s="21"/>
    </row>
    <row r="25" spans="2:20" x14ac:dyDescent="0.25">
      <c r="O25" s="21" t="s">
        <v>107</v>
      </c>
      <c r="P25" s="21">
        <f>1.24*P21</f>
        <v>8.6607792998020372</v>
      </c>
      <c r="Q25" s="21"/>
      <c r="R25" s="21"/>
      <c r="S25" s="21"/>
    </row>
    <row r="26" spans="2:20" x14ac:dyDescent="0.25">
      <c r="O26" s="21"/>
      <c r="P26" s="21"/>
      <c r="Q26" s="21"/>
      <c r="R26" s="21"/>
      <c r="S26" s="21"/>
    </row>
    <row r="27" spans="2:20" x14ac:dyDescent="0.25">
      <c r="O27" s="21"/>
      <c r="P27" s="21"/>
      <c r="Q27" s="21"/>
      <c r="R27" s="21"/>
      <c r="S27" s="21"/>
    </row>
    <row r="28" spans="2:20" x14ac:dyDescent="0.25">
      <c r="O28" s="21" t="s">
        <v>109</v>
      </c>
      <c r="P28" s="21"/>
      <c r="Q28" s="21"/>
      <c r="R28" s="21"/>
      <c r="S28" s="21"/>
    </row>
    <row r="29" spans="2:20" x14ac:dyDescent="0.25">
      <c r="O29" s="26" t="s">
        <v>108</v>
      </c>
      <c r="P29" s="21">
        <f>1.2*P25</f>
        <v>10.392935159762445</v>
      </c>
      <c r="Q29" s="21"/>
      <c r="R29" s="21"/>
      <c r="S29" s="21"/>
    </row>
    <row r="30" spans="2:20" x14ac:dyDescent="0.25">
      <c r="O30" s="21"/>
      <c r="P30" s="21"/>
      <c r="Q30" s="21"/>
      <c r="R30" s="21"/>
      <c r="S30" s="21"/>
    </row>
    <row r="32" spans="2:20" ht="45" x14ac:dyDescent="0.25">
      <c r="O32" s="49" t="s">
        <v>135</v>
      </c>
      <c r="P32" s="44" t="s">
        <v>136</v>
      </c>
    </row>
    <row r="33" spans="15:16" ht="30" x14ac:dyDescent="0.25">
      <c r="O33" s="46" t="s">
        <v>138</v>
      </c>
      <c r="P33" s="45">
        <f>1.83*P25</f>
        <v>15.849226118637729</v>
      </c>
    </row>
  </sheetData>
  <mergeCells count="2">
    <mergeCell ref="A1:L1"/>
    <mergeCell ref="A2:L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19"/>
  <sheetViews>
    <sheetView topLeftCell="A19" workbookViewId="0">
      <selection activeCell="G18" sqref="G18"/>
    </sheetView>
  </sheetViews>
  <sheetFormatPr defaultRowHeight="15" x14ac:dyDescent="0.25"/>
  <cols>
    <col min="2" max="2" width="10" customWidth="1"/>
    <col min="3" max="3" width="29.140625" customWidth="1"/>
    <col min="4" max="4" width="12" bestFit="1" customWidth="1"/>
    <col min="6" max="6" width="18.85546875" customWidth="1"/>
    <col min="7" max="7" width="17.140625" customWidth="1"/>
    <col min="8" max="8" width="23.7109375" customWidth="1"/>
  </cols>
  <sheetData>
    <row r="3" spans="2:8" x14ac:dyDescent="0.25">
      <c r="B3" s="66" t="s">
        <v>172</v>
      </c>
      <c r="C3" s="66" t="s">
        <v>178</v>
      </c>
      <c r="D3" t="s">
        <v>170</v>
      </c>
    </row>
    <row r="4" spans="2:8" x14ac:dyDescent="0.25">
      <c r="B4" s="68">
        <v>1</v>
      </c>
      <c r="C4" s="68">
        <f>'Plot 1'!R42</f>
        <v>0.93378378378378335</v>
      </c>
      <c r="D4" s="68">
        <f>'Plot 1'!R43</f>
        <v>5.7800007273709236E-2</v>
      </c>
    </row>
    <row r="5" spans="2:8" x14ac:dyDescent="0.25">
      <c r="B5" s="68">
        <v>2</v>
      </c>
      <c r="C5" s="68">
        <f>'Plot 2'!R26</f>
        <v>0.9285714285714286</v>
      </c>
      <c r="D5" s="68">
        <f>'Plot 2'!R27</f>
        <v>0.12606687567659211</v>
      </c>
    </row>
    <row r="6" spans="2:8" x14ac:dyDescent="0.25">
      <c r="B6" s="68">
        <v>3</v>
      </c>
      <c r="C6" s="68">
        <f>'Plot 3'!$R$67</f>
        <v>0.63870967741935458</v>
      </c>
      <c r="D6" s="68">
        <f>'Plot 3'!$R$68</f>
        <v>0.1940549514109535</v>
      </c>
    </row>
    <row r="7" spans="2:8" x14ac:dyDescent="0.25">
      <c r="B7" s="68">
        <v>4</v>
      </c>
      <c r="C7" s="68">
        <f>'Plot 4'!$R$23</f>
        <v>0.89166666666666694</v>
      </c>
      <c r="D7" s="68">
        <f>'Plot 4'!$R$24</f>
        <v>3.5355339059327383E-2</v>
      </c>
    </row>
    <row r="8" spans="2:8" x14ac:dyDescent="0.25">
      <c r="B8" s="69">
        <v>5</v>
      </c>
      <c r="C8" s="69">
        <f>'Plot 5'!R62</f>
        <v>0.89035087719298156</v>
      </c>
      <c r="D8" s="69">
        <f>'Plot 5'!R63</f>
        <v>5.6250870224401894E-2</v>
      </c>
      <c r="G8" s="67"/>
      <c r="H8" t="s">
        <v>173</v>
      </c>
    </row>
    <row r="9" spans="2:8" x14ac:dyDescent="0.25">
      <c r="B9" s="68">
        <v>6</v>
      </c>
      <c r="C9" s="68">
        <f>'Plot 6'!R38</f>
        <v>0.89999999999999947</v>
      </c>
      <c r="D9" s="68">
        <f>'Plot 6'!R39</f>
        <v>5.6371840561036674E-16</v>
      </c>
      <c r="G9" s="69"/>
      <c r="H9" t="s">
        <v>175</v>
      </c>
    </row>
    <row r="10" spans="2:8" x14ac:dyDescent="0.25">
      <c r="B10" s="69">
        <v>7</v>
      </c>
      <c r="C10" s="69">
        <f>'Plot 7'!R51</f>
        <v>0.89782608695652111</v>
      </c>
      <c r="D10" s="69">
        <f>'Plot 7'!R52</f>
        <v>3.7942239345748287E-2</v>
      </c>
    </row>
    <row r="11" spans="2:8" x14ac:dyDescent="0.25">
      <c r="B11" s="68">
        <v>8</v>
      </c>
      <c r="C11" s="68">
        <f>'Plot 8'!$R$29</f>
        <v>0.93958333333333321</v>
      </c>
      <c r="D11" s="68">
        <f>'Plot 8'!$R$30</f>
        <v>0.11323231858005213</v>
      </c>
    </row>
    <row r="12" spans="2:8" x14ac:dyDescent="0.25">
      <c r="B12" s="68">
        <v>9</v>
      </c>
      <c r="C12" s="68">
        <f>'Plot 9'!R44</f>
        <v>0.90512820512820447</v>
      </c>
      <c r="D12" s="68">
        <f>'Plot 9'!R45</f>
        <v>2.2345586503095885E-2</v>
      </c>
    </row>
    <row r="13" spans="2:8" x14ac:dyDescent="0.25">
      <c r="B13" s="68">
        <v>10</v>
      </c>
      <c r="C13" s="68">
        <f>'Plot 10'!$R$21</f>
        <v>0.94375000000000009</v>
      </c>
      <c r="D13" s="68">
        <f>'Plot 10'!$R$22</f>
        <v>5.1234753829797974E-2</v>
      </c>
    </row>
    <row r="17" spans="6:8" x14ac:dyDescent="0.25">
      <c r="G17" t="s">
        <v>174</v>
      </c>
      <c r="H17" t="s">
        <v>170</v>
      </c>
    </row>
    <row r="18" spans="6:8" ht="60" x14ac:dyDescent="0.25">
      <c r="F18" s="70" t="s">
        <v>179</v>
      </c>
      <c r="G18" s="67">
        <f>AVERAGE(C4:C7,C9,C11:C13)</f>
        <v>0.88514913686284635</v>
      </c>
      <c r="H18" s="67">
        <f>AVERAGE(D4:D7,D9,D11:D13)</f>
        <v>7.5011229041691108E-2</v>
      </c>
    </row>
    <row r="19" spans="6:8" ht="60" x14ac:dyDescent="0.25">
      <c r="F19" s="71" t="s">
        <v>180</v>
      </c>
      <c r="G19" s="69">
        <f>AVERAGE(C8,C10)</f>
        <v>0.89408848207475133</v>
      </c>
      <c r="H19" s="72">
        <f>AVERAGE(D8,D10)</f>
        <v>4.7096554785075087E-2</v>
      </c>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Tree condi &amp; Photo num</vt:lpstr>
      <vt:lpstr> AGB Calculation</vt:lpstr>
      <vt:lpstr>Total biomass,O2 &amp;CO2</vt:lpstr>
      <vt:lpstr>Summery</vt:lpstr>
      <vt:lpstr>Es CO₂ seq &amp; To adj AGD</vt:lpstr>
      <vt:lpstr>Plot 1</vt:lpstr>
      <vt:lpstr>Plot 2</vt:lpstr>
      <vt:lpstr>Plot 3</vt:lpstr>
      <vt:lpstr>Plot 4</vt:lpstr>
      <vt:lpstr>Plot 5</vt:lpstr>
      <vt:lpstr>Plot 6</vt:lpstr>
      <vt:lpstr>Plot 7</vt:lpstr>
      <vt:lpstr>Plot 8</vt:lpstr>
      <vt:lpstr>Plot 9</vt:lpstr>
      <vt:lpstr>Plot 10</vt:lpstr>
      <vt:lpstr>Tree Condition summery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2025-04-04T14:08:11Z</dcterms:created>
  <dcterms:modified xsi:type="dcterms:W3CDTF">2025-05-01T05:22:18Z</dcterms:modified>
</cp:coreProperties>
</file>