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Siron!$E$3</definedName>
    <definedName hidden="1" localSheetId="1" name="_xlnm._FilterDatabase">Generator!$A$1:$N$170</definedName>
  </definedNames>
  <calcPr/>
</workbook>
</file>

<file path=xl/sharedStrings.xml><?xml version="1.0" encoding="utf-8"?>
<sst xmlns="http://schemas.openxmlformats.org/spreadsheetml/2006/main" count="1523" uniqueCount="1098">
  <si>
    <t>Id</t>
  </si>
  <si>
    <t>Cím</t>
  </si>
  <si>
    <t>Cím suffix</t>
  </si>
  <si>
    <t>Szerző</t>
  </si>
  <si>
    <t>Dalszöveg</t>
  </si>
  <si>
    <t>Dalszöveg akkordokkal</t>
  </si>
  <si>
    <t>Kategória</t>
  </si>
  <si>
    <t>Állapot</t>
  </si>
  <si>
    <t>Érzékeny tartalom</t>
  </si>
  <si>
    <t>Youtube link</t>
  </si>
  <si>
    <t>Gépi javaslat</t>
  </si>
  <si>
    <t>Tartalomjegyzékből kimarad</t>
  </si>
  <si>
    <t>Dalszöveg tömb</t>
  </si>
  <si>
    <t>Akkord Tömb</t>
  </si>
  <si>
    <t>H01</t>
  </si>
  <si>
    <t>Hátikvá</t>
  </si>
  <si>
    <t>התקווה</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</si>
  <si>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</si>
  <si>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</si>
  <si>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</si>
  <si>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</si>
  <si>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https://www.youtube.com/watch?v=-oWj-ddDr_E</t>
  </si>
  <si>
    <t>H02</t>
  </si>
  <si>
    <t>Jerusalaim sel záháv</t>
  </si>
  <si>
    <t>ירושלים של זהב</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</si>
  <si>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</si>
  <si>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</si>
  <si>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</si>
  <si>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https://www.youtube.com/watch?v=2wfvdyQqRaA</t>
  </si>
  <si>
    <t>H03</t>
  </si>
  <si>
    <t>Áni ve ata</t>
  </si>
  <si>
    <t>אני ואתה</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</si>
  <si>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</si>
  <si>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</si>
  <si>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</si>
  <si>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https://www.youtube.com/watch?v=gP6PS-poyMg</t>
  </si>
  <si>
    <t>https://www.youtube.com/watch?v=ETqJxlBrQbc</t>
  </si>
  <si>
    <t>H04</t>
  </si>
  <si>
    <t>Básáná hábáá</t>
  </si>
  <si>
    <t>בשנה הבאה</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</si>
  <si>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</si>
  <si>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</si>
  <si>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</si>
  <si>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https://www.youtube.com/watch?v=0dcAjl3GVs8</t>
  </si>
  <si>
    <t>https://www.youtube.com/watch?v=xmZ5OTqN9nY</t>
  </si>
  <si>
    <t>H05</t>
  </si>
  <si>
    <t>Bói</t>
  </si>
  <si>
    <t>בואי</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</si>
  <si>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</si>
  <si>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</si>
  <si>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</si>
  <si>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https://www.youtube.com/watch?v=_uJLsc05ZE4</t>
  </si>
  <si>
    <t>https://www.youtube.com/watch?v=rJNaEJ24JCc</t>
  </si>
  <si>
    <t>H06</t>
  </si>
  <si>
    <t>Hiné má tov</t>
  </si>
  <si>
    <t>הִנֵּה מַה טוֹב</t>
  </si>
  <si>
    <t>Paul Wilbur</t>
  </si>
  <si>
    <t>Hine má tov umá náim,
sevet áḥim gám jáḥád.</t>
  </si>
  <si>
    <t>Am           Em
Hiné má tov umánájim, 
C       D        Em
sevet áhim gám jáhád. 
Am          Em
Hiná má tov umanájim, 
C       D        Em
sevet áhim gám jáhád. 
Am      Em
Hiné má tov 
C       D        Em
sevet áhim gám jáhád. 
Am      Em
Hiné má tov, 
C       D        Em
sevet áhim gam jáhád.</t>
  </si>
  <si>
    <t>https://www.youtube.com/watch?v=ehnKHhJ26pQ</t>
  </si>
  <si>
    <t>https://www.youtube.com/watch?v=NSx3DBqA8UA</t>
  </si>
  <si>
    <t>H07</t>
  </si>
  <si>
    <t>Kol háolám kuló</t>
  </si>
  <si>
    <t>כל העולם כולו</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</si>
  <si>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</si>
  <si>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</si>
  <si>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</si>
  <si>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https://www.youtube.com/watch?v=A4Ikm1SxBlU</t>
  </si>
  <si>
    <t>https://www.youtube.com/watch?v=Va0n1X9A_r8</t>
  </si>
  <si>
    <t>H08</t>
  </si>
  <si>
    <t>Od avinu cháj</t>
  </si>
  <si>
    <t>עוֹד אָבִינוּ חַי</t>
  </si>
  <si>
    <t>Shlomo Carlebach</t>
  </si>
  <si>
    <t>Od avinu cháj, Ám Iszráél cháj.</t>
  </si>
  <si>
    <t>Am                                 G
Am Yisroel, Am Yisroel, Am Yisroel Chai,
G                                  Am
Am Yisroel, Am Yisroel, Am Yisroel Chai,
Am   Em   Am   Am   Em   Am
Od Avinu Chai, Od Avinu Chai, 
Am                  G        Am
Od Avinu, Od Avinu, Od Avinu Chai</t>
  </si>
  <si>
    <t>https://www.youtube.com/watch?v=RPOuvkjByEA</t>
  </si>
  <si>
    <t>-</t>
  </si>
  <si>
    <t>H09</t>
  </si>
  <si>
    <t>Od Jávo Sálom Áléjnu</t>
  </si>
  <si>
    <t>עוד יבוא שלום עלינו</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</si>
  <si>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</si>
  <si>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</si>
  <si>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</si>
  <si>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https://www.youtube.com/watch?v=i4HViPVymlo</t>
  </si>
  <si>
    <t>https://www.youtube.com/watch?v=YkUR610lCiA</t>
  </si>
  <si>
    <t>H10</t>
  </si>
  <si>
    <t>Hajom jom huledet</t>
  </si>
  <si>
    <t>היום יום הולדת</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</si>
  <si>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</si>
  <si>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</si>
  <si>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https://www.youtube.com/watch?v=cm0QEnSh9JU</t>
  </si>
  <si>
    <t>H11</t>
  </si>
  <si>
    <t>Hevenu sálom álehem</t>
  </si>
  <si>
    <t>הבאנו שלום עליכם</t>
  </si>
  <si>
    <t>népdal</t>
  </si>
  <si>
    <t>Hevenu sálom áleḥem, 
hevenu sálom álehem, 
hevenu sálom álehem, 
hevenu sálom, sálom, sálom áleḥem.</t>
  </si>
  <si>
    <t>Cm
Hevenu sálom áleḥem, 
       Fm
hevenu sálom álehem, 
       G      Cm
hevenu sálom álehem, 
       G             Fm       Cm
hevenu sálom, sálom, sálom áleḥem.</t>
  </si>
  <si>
    <t>https://www.youtube.com/watch?v=u_27W2xuo_M</t>
  </si>
  <si>
    <t>https://www.youtube.com/watch?v=6eAKJld5fvA</t>
  </si>
  <si>
    <t>H12</t>
  </si>
  <si>
    <t>Hává nágilá</t>
  </si>
  <si>
    <t>הבה נגילה</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</si>
  <si>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</si>
  <si>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</si>
  <si>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</si>
  <si>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https://www.youtube.com/watch?v=I-xbnpT6y9E</t>
  </si>
  <si>
    <t>H13</t>
  </si>
  <si>
    <t>Dávid meleh Jiszrael</t>
  </si>
  <si>
    <t>דוד מלך ישראל</t>
  </si>
  <si>
    <t>Dávid meleḥ Jiszráel,
ḥáj, ḥáj vekájám.</t>
  </si>
  <si>
    <t>C
Dávid meleḥ Jiszráel,
C
ḥáj, ḥáj vekájám.
F
Dávid meleḥ Jiszráel,
C
ḥáj, ḥáj vekájám.</t>
  </si>
  <si>
    <t>https://www.youtube.com/watch?v=Q2AGR2Ny8cU</t>
  </si>
  <si>
    <t>https://www.youtube.com/watch?v=DoZz5cJLEO8</t>
  </si>
  <si>
    <t>H14</t>
  </si>
  <si>
    <t>Áni Mámin (Száhki száhki)</t>
  </si>
  <si>
    <t>אני מאמין - שחקי שחקי</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</si>
  <si>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</si>
  <si>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</si>
  <si>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</si>
  <si>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K01</t>
  </si>
  <si>
    <t>Let It Be</t>
  </si>
  <si>
    <t>(1/2)</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</si>
  <si>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</si>
  <si>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</si>
  <si>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t>
  </si>
  <si>
    <t>Kölföldi dalok</t>
  </si>
  <si>
    <t>https://www.youtube.com/watch?v=CGj85pVzRJs&amp;pp=ygUJTGV0IEl0IEJl</t>
  </si>
  <si>
    <t>https://www.youtube.com/watch?v=egCy1KoE1Ss</t>
  </si>
  <si>
    <t>(2/2)</t>
  </si>
  <si>
    <t>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</si>
  <si>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</si>
  <si>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</si>
  <si>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</si>
  <si>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</si>
  <si>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</si>
  <si>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https://www.youtube.com/watch?v=m2uTFF_3MaA</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</si>
  <si>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</si>
  <si>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</si>
  <si>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</si>
  <si>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</si>
  <si>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https://www.youtube.com/watch?v=wXTJBr9tt8Q&amp;pp=ygUKWWVzdGVyZGF5IA%3D%3D</t>
  </si>
  <si>
    <t>https://www.youtube.com/watch?v=NrgmdOz227I</t>
  </si>
  <si>
    <t>K04</t>
  </si>
  <si>
    <t>Lemon Tree</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</si>
  <si>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</si>
  <si>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</si>
  <si>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</si>
  <si>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https://www.youtube.com/watch?v=wCQfkEkePx8</t>
  </si>
  <si>
    <t>https://www.youtube.com/watch?v=QzmbR-oQA70</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</si>
  <si>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</si>
  <si>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</si>
  <si>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</si>
  <si>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</si>
  <si>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</si>
  <si>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</si>
  <si>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t>
  </si>
  <si>
    <t>https://www.youtube.com/watch?v=k04tX2fvh0o</t>
  </si>
  <si>
    <t>https://www.youtube.com/watch?v=UcCNj3q79Ic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</si>
  <si>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</si>
  <si>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</si>
  <si>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</si>
  <si>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</si>
  <si>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</si>
  <si>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https://www.youtube.com/watch?v=qGyPuey-1Jw</t>
  </si>
  <si>
    <t>https://www.youtube.com/watch?v=nMOyOlmBYCU</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</si>
  <si>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</si>
  <si>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</si>
  <si>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</si>
  <si>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</si>
  <si>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</si>
  <si>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https://www.youtube.com/watch?v=V1bFr2SWP1I</t>
  </si>
  <si>
    <t>https://www.youtube.com/watch?v=8CCTiQmK5t4</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</si>
  <si>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</si>
  <si>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</si>
  <si>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</si>
  <si>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</si>
  <si>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</si>
  <si>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https://www.youtube.com/watch?v=0aUav1lx3rA</t>
  </si>
  <si>
    <t>https://www.youtube.com/watch?v=A1dkZrpZgjY</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</si>
  <si>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</si>
  <si>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</si>
  <si>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</si>
  <si>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</si>
  <si>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</si>
  <si>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https://www.youtube.com/watch?v=-LT5ZJGj5QA</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</si>
  <si>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</si>
  <si>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</si>
  <si>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</si>
  <si>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</si>
  <si>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</si>
  <si>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https://www.youtube.com/watch?v=FkLQrED71dU</t>
  </si>
  <si>
    <t>https://www.youtube.com/watch?v=3P0COo6jSlY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</si>
  <si>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</si>
  <si>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</si>
  <si>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</si>
  <si>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</si>
  <si>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</si>
  <si>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https://www.youtube.com/watch?v=u1ZvPSpLxCg</t>
  </si>
  <si>
    <t>K12</t>
  </si>
  <si>
    <t>House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</si>
  <si>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</si>
  <si>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</si>
  <si>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</si>
  <si>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https://www.youtube.com/watch?v=N4bFqW_eu2I</t>
  </si>
  <si>
    <t>https://www.youtube.com/watch?v=egdVf2B2UXE</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</si>
  <si>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</si>
  <si>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</si>
  <si>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</si>
  <si>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</si>
  <si>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</si>
  <si>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https://www.youtube.com/watch?v=NbEa-yckHgM</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</si>
  <si>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</si>
  <si>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</si>
  <si>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</si>
  <si>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</si>
  <si>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https://www.youtube.com/watch?v=r4AITYAEaDM</t>
  </si>
  <si>
    <t>https://www.youtube.com/watch?v=I7CgCDJ9s44</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</si>
  <si>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</si>
  <si>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</si>
  <si>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</si>
  <si>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</si>
  <si>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https://www.youtube.com/watch?v=ml7QV_uUcAI</t>
  </si>
  <si>
    <t>https://www.youtube.com/watch?v=K9sXsJc285k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</si>
  <si>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</si>
  <si>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</si>
  <si>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</si>
  <si>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</si>
  <si>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https://www.youtube.com/watch?v=GUNF_SGlKRI</t>
  </si>
  <si>
    <t>https://www.youtube.com/watch?v=CPeqf0gU-tY</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</si>
  <si>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</si>
  <si>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</si>
  <si>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</si>
  <si>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</si>
  <si>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https://www.youtube.com/watch?v=uMwjJVr8DEY</t>
  </si>
  <si>
    <t>https://www.youtube.com/watch?v=tKHHnjrpPrM</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</si>
  <si>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</si>
  <si>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</si>
  <si>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</si>
  <si>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</si>
  <si>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https://www.youtube.com/watch?v=1_FHTSlAyZc</t>
  </si>
  <si>
    <t>https://www.youtube.com/watch?v=n6i7x6VXd5w</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</si>
  <si>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</si>
  <si>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</si>
  <si>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</si>
  <si>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</si>
  <si>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https://www.youtube.com/watch?v=zFMBq-kjtco</t>
  </si>
  <si>
    <t>https://www.youtube.com/watch?v=OB11pWRvpvM</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</si>
  <si>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</si>
  <si>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</si>
  <si>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</si>
  <si>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</si>
  <si>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https://www.youtube.com/watch?v=O-YSzVszlrc</t>
  </si>
  <si>
    <t>https://www.youtube.com/watch?v=rDqG1BI56wo</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</si>
  <si>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</si>
  <si>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</si>
  <si>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</si>
  <si>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</si>
  <si>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https://www.youtube.com/watch?v=E4Pyrno1uX8&amp;list=RDE4Pyrno1uX8&amp;start_radio=1</t>
  </si>
  <si>
    <t>https://www.youtube.com/watch?v=E4Pyrno1uX8</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</si>
  <si>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</si>
  <si>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</si>
  <si>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</si>
  <si>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</si>
  <si>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https://www.youtube.com/watch?v=dCB66y5haBU</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</si>
  <si>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</si>
  <si>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</si>
  <si>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</si>
  <si>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</si>
  <si>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</si>
  <si>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</si>
  <si>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</si>
  <si>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</si>
  <si>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</si>
  <si>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 xml:space="preserve">Minden fejre áll </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</si>
  <si>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</si>
  <si>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</si>
  <si>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 xml:space="preserve">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t>
  </si>
  <si>
    <t>https://www.youtube.com/watch?v=xpm9lit98mc</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</si>
  <si>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</si>
  <si>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</si>
  <si>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</si>
  <si>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</si>
  <si>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</si>
  <si>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https://www.youtube.com/watch?v=m9LgCRp0B0Q</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</si>
  <si>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</si>
  <si>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</si>
  <si>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</si>
  <si>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</si>
  <si>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</si>
  <si>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</si>
  <si>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שיר הפרטיזנים</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</si>
  <si>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</si>
  <si>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</si>
  <si>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</si>
  <si>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</si>
  <si>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</si>
  <si>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</si>
  <si>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</si>
  <si>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</si>
  <si>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</si>
  <si>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T01</t>
  </si>
  <si>
    <t>Azt hittem érdemes</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</si>
  <si>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</si>
  <si>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</si>
  <si>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</si>
  <si>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</si>
  <si>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https://www.youtube.com/watch?v=gV4j105Cztw</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</si>
  <si>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</si>
  <si>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</si>
  <si>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</si>
  <si>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</si>
  <si>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</si>
  <si>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</si>
  <si>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</si>
  <si>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https://www.youtube.com/watch?v=b5TEg3WO7_Q</t>
  </si>
  <si>
    <t>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</si>
  <si>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</si>
  <si>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</si>
  <si>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</si>
  <si>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</si>
  <si>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</si>
  <si>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t>
  </si>
  <si>
    <t>https://www.youtube.com/watch?v=2gb3jC67Ss8</t>
  </si>
  <si>
    <t>https://www.youtube.com/watch?v=jkKYQ3yZ4us</t>
  </si>
  <si>
    <t xml:space="preserve">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
</t>
  </si>
  <si>
    <t>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</si>
  <si>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</si>
  <si>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</si>
  <si>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</si>
  <si>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</si>
  <si>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https://www.youtube.com/watch?v=uZ8y1Dst8Is</t>
  </si>
  <si>
    <t>https://www.youtube.com/watch?v=ZQaMSGPvXaQ</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</si>
  <si>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</si>
  <si>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</si>
  <si>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</si>
  <si>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</si>
  <si>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</si>
  <si>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https://www.youtube.com/watch?v=pgEPBpcRx0Y</t>
  </si>
  <si>
    <t>https://www.youtube.com/watch?v=cnilNaXlmoM</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</si>
  <si>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</si>
  <si>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</si>
  <si>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</si>
  <si>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</si>
  <si>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https://www.youtube.com/watch?v=WbKQn5wy3RI</t>
  </si>
  <si>
    <t>https://www.youtube.com/watch?v=cLZs2oC3MBE</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</si>
  <si>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</si>
  <si>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</si>
  <si>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</si>
  <si>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</si>
  <si>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</si>
  <si>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https://www.youtube.com/watch?v=nAw9q5vLiak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</si>
  <si>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</si>
  <si>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</si>
  <si>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</si>
  <si>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</si>
  <si>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https://www.youtube.com/watch?v=KkdWzfgclLk</t>
  </si>
  <si>
    <t>https://www.youtube.com/watch?v=a9MUphJg09E</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</si>
  <si>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</si>
  <si>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</si>
  <si>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</si>
  <si>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</si>
  <si>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t>
  </si>
  <si>
    <t>https://www.youtube.com/watch?v=DKXfvfZ8oFM</t>
  </si>
  <si>
    <t>https://www.youtube.com/watch?v=_Ojd8CMGvKI</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</si>
  <si>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</si>
  <si>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</si>
  <si>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</si>
  <si>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</si>
  <si>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</si>
  <si>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https://www.youtube.com/watch?v=XQ49bXzQQBQ</t>
  </si>
  <si>
    <t>https://www.youtube.com/watch?v=tvUtYu8Osmc</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</si>
  <si>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</si>
  <si>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</si>
  <si>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</si>
  <si>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</si>
  <si>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https://www.youtube.com/watch?v=oUM5uS4_4zI</t>
  </si>
  <si>
    <t>https://www.youtube.com/watch?v=2h2PMTP3duY</t>
  </si>
  <si>
    <t>T12</t>
  </si>
  <si>
    <t>Budapest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</si>
  <si>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</si>
  <si>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</si>
  <si>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</si>
  <si>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https://www.youtube.com/watch?v=LYBw6XTcww4</t>
  </si>
  <si>
    <t>https://www.youtube.com/watch?v=3yoUXLHRtf0</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</si>
  <si>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</si>
  <si>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</si>
  <si>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</si>
  <si>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</si>
  <si>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</si>
  <si>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</si>
  <si>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https://www.youtube.com/watch?v=RVXXgBecbB8</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</si>
  <si>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</si>
  <si>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</si>
  <si>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</si>
  <si>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</si>
  <si>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</si>
  <si>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https://www.youtube.com/watch?v=-DHitqhvTak</t>
  </si>
  <si>
    <t>https://www.youtube.com/watch?v=iAY8QPDe-_4</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</si>
  <si>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</si>
  <si>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</si>
  <si>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</si>
  <si>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</si>
  <si>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</si>
  <si>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https://www.youtube.com/watch?v=qPYGPdMkPTo</t>
  </si>
  <si>
    <t>https://www.youtube.com/watch?v=IuDWlITFIek</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</si>
  <si>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</si>
  <si>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</si>
  <si>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</si>
  <si>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</si>
  <si>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</si>
  <si>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https://www.youtube.com/watch?v=BWqGIR2Ao1M</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</si>
  <si>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</si>
  <si>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</si>
  <si>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</si>
  <si>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</si>
  <si>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</si>
  <si>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https://www.youtube.com/watch?v=aX5_y3qSvoU</t>
  </si>
  <si>
    <t>https://www.youtube.com/watch?v=h7XPfmjgJFM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</si>
  <si>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</si>
  <si>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</si>
  <si>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</si>
  <si>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</si>
  <si>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</si>
  <si>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https://www.youtube.com/watch?v=QLNz8OiSL4Q</t>
  </si>
  <si>
    <t>https://www.youtube.com/watch?v=QcFMbx_MWkU</t>
  </si>
  <si>
    <t>T19</t>
  </si>
  <si>
    <t>Van egy ország</t>
  </si>
  <si>
    <t>Rájátszás - Erdős Virág</t>
  </si>
  <si>
    <t xml:space="preserve">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</si>
  <si>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t>
  </si>
  <si>
    <t>https://www.youtube.com/watch?v=XBUu_k_nGyw</t>
  </si>
  <si>
    <t>https://www.youtube.com/watch?v=V2bOblKkeU0</t>
  </si>
  <si>
    <t>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</si>
  <si>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</si>
  <si>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T20</t>
  </si>
  <si>
    <t>Teljesség felé</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</si>
  <si>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</si>
  <si>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
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</si>
  <si>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</si>
  <si>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https://www.youtube.com/watch?v=W1ZJr-ZEqPc</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</si>
  <si>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</si>
  <si>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</si>
  <si>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</si>
  <si>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</si>
  <si>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</si>
  <si>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https://www.youtube.com/watch?v=hxyEMryOkOU</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</si>
  <si>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</si>
  <si>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</si>
  <si>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</si>
  <si>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</si>
  <si>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https://www.youtube.com/watch?v=1Kqsfb4UFJI</t>
  </si>
  <si>
    <t>https://www.youtube.com/watch?v=LDdamEkxiyU</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</si>
  <si>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</si>
  <si>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</si>
  <si>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</si>
  <si>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</si>
  <si>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</si>
  <si>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https://www.youtube.com/watch?v=foJUYo02E2w</t>
  </si>
  <si>
    <t>https://www.youtube.com/watch?v=rfLXXqXIXTE</t>
  </si>
  <si>
    <t>T24</t>
  </si>
  <si>
    <t>Oj, tízen voltunk mi testvérek</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</si>
  <si>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</si>
  <si>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</si>
  <si>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</si>
  <si>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https://www.youtube.com/watch?v=j7WRDBhQ6C0</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</si>
  <si>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</si>
  <si>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</si>
  <si>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</si>
  <si>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</si>
  <si>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</si>
  <si>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https://www.youtube.com/watch?v=xey4rp0vZOY</t>
  </si>
  <si>
    <t>https://www.youtube.com/watch?v=R02BzZH4J1s</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</si>
  <si>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</si>
  <si>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</si>
  <si>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</si>
  <si>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</si>
  <si>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</si>
  <si>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https://www.youtube.com/watch?v=lm94S_21S5o</t>
  </si>
  <si>
    <t>https://www.youtube.com/watch?v=T8-8U3PtiPw</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</si>
  <si>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</si>
  <si>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</si>
  <si>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</si>
  <si>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</si>
  <si>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</si>
  <si>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https://www.youtube.com/watch?v=-qWFehHbZ9A</t>
  </si>
  <si>
    <t>https://www.youtube.com/watch?v=fFixQcPCyjs</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</si>
  <si>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</si>
  <si>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</si>
  <si>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</si>
  <si>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</si>
  <si>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</si>
  <si>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https://www.youtube.com/watch?v=KWYNE_AG4Bk</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</si>
  <si>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</si>
  <si>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</si>
  <si>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</si>
  <si>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</si>
  <si>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</si>
  <si>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https://www.youtube.com/watch?v=OvLfqt9QYNU</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</si>
  <si>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</si>
  <si>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</si>
  <si>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</si>
  <si>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</si>
  <si>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</si>
  <si>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https://www.youtube.com/watch?v=Sl2Gr_rMVWw</t>
  </si>
  <si>
    <t>https://www.youtube.com/watch?v=Ke-CJDtZZYM</t>
  </si>
  <si>
    <t>T31</t>
  </si>
  <si>
    <t>Bál az Operában</t>
  </si>
  <si>
    <t xml:space="preserve">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</si>
  <si>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t>
  </si>
  <si>
    <t>https://www.youtube.com/watch?v=hBZty68vdwA</t>
  </si>
  <si>
    <t>https://www.youtube.com/watch?v=lNGvXHXmHL0</t>
  </si>
  <si>
    <t>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</si>
  <si>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</si>
  <si>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</si>
  <si>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</si>
  <si>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</si>
  <si>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</si>
  <si>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https://www.youtube.com/watch?v=b_26SkhjGU0</t>
  </si>
  <si>
    <t>https://www.youtube.com/watch?v=QaYj_k35zkU</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</si>
  <si>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</si>
  <si>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</si>
  <si>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</si>
  <si>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</si>
  <si>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https://www.youtube.com/watch?v=rCMs-Eo9OzU</t>
  </si>
  <si>
    <t>https://www.youtube.com/watch?v=tRkMhVN4PHE</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</si>
  <si>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</si>
  <si>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</si>
  <si>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</si>
  <si>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</si>
  <si>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</si>
  <si>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https://www.youtube.com/watch?v=n_a6OqWqqtk</t>
  </si>
  <si>
    <t>https://www.youtube.com/watch?v=sx2EyuqdvH0</t>
  </si>
  <si>
    <t>T35</t>
  </si>
  <si>
    <t>Ezt is elviszem magammal</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</si>
  <si>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</si>
  <si>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</si>
  <si>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</si>
  <si>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https://www.youtube.com/watch?v=eEmWyteg7yo</t>
  </si>
  <si>
    <t>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</si>
  <si>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</si>
  <si>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</si>
  <si>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</si>
  <si>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</si>
  <si>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</si>
  <si>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https://www.youtube.com/watch?v=14jMDziqES4</t>
  </si>
  <si>
    <t>https://www.youtube.com/watch?v=xxVqDZcLSyY</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</si>
  <si>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</si>
  <si>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</si>
  <si>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</si>
  <si>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</si>
  <si>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https://www.youtube.com/watch?v=mMaEeK--SUo</t>
  </si>
  <si>
    <t>https://www.youtube.com/watch?v=RjY5haxPUxs</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</si>
  <si>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</si>
  <si>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</si>
  <si>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</si>
  <si>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</si>
  <si>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https://www.youtube.com/watch?v=TdgRQvi6EFg</t>
  </si>
  <si>
    <t>https://www.youtube.com/watch?v=w3nQS3SDRnE</t>
  </si>
  <si>
    <t>T39</t>
  </si>
  <si>
    <t>A pancsoló kislány</t>
  </si>
  <si>
    <t>Kovács Eszti</t>
  </si>
  <si>
    <t>Ha végre itt a nyár és meleg az idő,
az ember strandra jár, mert azért van itt ő.
Míg anyu öltözik, az apu ideges,
hogy olyan lassan készül el, hogy addigra este lesz.
Ij jaj, úgy élvezem én a strandot,
ottan annyira szép és jó,
annyi vicceset látok, hallok,
és még Bambi is kapható.
La la la la, la la la la,
La la la la, la la la.
A strandon az is jó, hogy van még sok gyerek,
és van homokozó és labdázni lehet.
Csak azt nem értem én, sok néni miért visít,
ha véletlen egy labda épp egy bácsira ráesik.
Ij jaj...
De apukámra is én azért ügyelek,
és mindig odavisz a lelkiismeret.
Ha fekszik a napon és izzad már szegény,
kis vödröm vízzel megtöltöm, és rálocsolom mind én.
Ij jaj...
De este szomorú a hazafelé út,
mert otthon az anyu a fürdőkádba dug.
Már volt vele ezért már nagyon sok vitám,
mert ki hallott még ilyen dolgot – fürdeni strand után?
Otthon nem szeretem a strandot,
abban semmi se szép, se jó.
„Gyorsan mosdani” – mást se hallok,
és még Bambi se kapható.
Brü-hü-hü</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</si>
  <si>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t>
  </si>
  <si>
    <t>https://www.youtube.com/watch?v=EB0VldSw3w0</t>
  </si>
  <si>
    <t>https://www.youtube.com/watch?v=Ln8WUSI60QU</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</si>
  <si>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</si>
  <si>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</si>
  <si>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</si>
  <si>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</si>
  <si>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</si>
  <si>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https://www.youtube.com/watch?v=Fy1YVaIlmcs</t>
  </si>
  <si>
    <t>https://www.youtube.com/watch?v=Pe5b5Z2tCLw</t>
  </si>
  <si>
    <t>T41</t>
  </si>
  <si>
    <t>Micimackó</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</si>
  <si>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</si>
  <si>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</si>
  <si>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</si>
  <si>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https://www.youtube.com/watch?v=RUuXKgS7feE</t>
  </si>
  <si>
    <t>https://www.youtube.com/watch?v=hq5oB3ruJiE</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</si>
  <si>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</si>
  <si>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</si>
  <si>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</si>
  <si>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t>
  </si>
  <si>
    <t>Leonard Cohen</t>
  </si>
  <si>
    <t xml:space="preserve">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</si>
  <si>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t>
  </si>
  <si>
    <t>https://www.youtube.com/watch?v=ttEMYvpoR-k</t>
  </si>
  <si>
    <t>https://www.youtube.com/watch?v=y8AWFf7EAc4</t>
  </si>
  <si>
    <t>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</si>
  <si>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</si>
  <si>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https://www.youtube.com/watch?v=NGorjBVag0I</t>
  </si>
  <si>
    <t>T43</t>
  </si>
  <si>
    <t>Mindenki másképp csinálja</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</si>
  <si>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</si>
  <si>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</si>
  <si>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</si>
  <si>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https://www.youtube.com/watch?v=BR0p9uLJvJw</t>
  </si>
  <si>
    <t>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</si>
  <si>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</si>
  <si>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</si>
  <si>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</si>
  <si>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</si>
  <si>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</si>
  <si>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https://www.youtube.com/watch?v=NaaWfWR1Yfc&amp;pp=ygUTTmVrZWQgw61yb20gYSBkYWx0IA%3D%3D</t>
  </si>
  <si>
    <t>https://www.youtube.com/watch?v=g9oln0zb8II</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</si>
  <si>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</si>
  <si>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</si>
  <si>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</si>
  <si>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</si>
  <si>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 xml:space="preserve">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t>
  </si>
  <si>
    <t>https://www.youtube.com/watch?v=emQUKzGm50o&amp;pp=ygUVdmFsYWtpIG1vbmRqYSBtZWcgbGd0</t>
  </si>
  <si>
    <t>https://www.youtube.com/watch?v=4-rbFNt2KUs</t>
  </si>
  <si>
    <t>T46</t>
  </si>
  <si>
    <t>Szociálisan érzékeny dal</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</si>
  <si>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</si>
  <si>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</si>
  <si>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 xml:space="preserve">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</si>
  <si>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https://www.youtube.com/watch?v=QK2fzZDdyqg</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</si>
  <si>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</si>
  <si>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</si>
  <si>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</si>
  <si>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</si>
  <si>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</si>
  <si>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</si>
  <si>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</si>
  <si>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https://www.youtube.com/watch?v=HIKPIJeKjqA</t>
  </si>
  <si>
    <t>https://www.youtube.com/watch?v=gFFpM5r5io0</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</si>
  <si>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</si>
  <si>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</si>
  <si>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</si>
  <si>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</si>
  <si>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https://www.youtube.com/watch?v=fNdGG_knKbk</t>
  </si>
  <si>
    <t>https://www.youtube.com/watch?v=vrsM-a1m4vE</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</si>
  <si>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</si>
  <si>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</si>
  <si>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</si>
  <si>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t>
  </si>
  <si>
    <t>https://www.youtube.com/watch?v=zexIfl7h88Q</t>
  </si>
  <si>
    <t>https://www.youtube.com/watch?v=0bx7blXygrc</t>
  </si>
  <si>
    <t>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</si>
  <si>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</si>
  <si>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T50</t>
  </si>
  <si>
    <t>Csúzli dal</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</si>
  <si>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</si>
  <si>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</si>
  <si>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</si>
  <si>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https://www.youtube.com/watch?v=6MVoEHFwqmw</t>
  </si>
  <si>
    <t>https://www.youtube.com/watch?v=BuJBNKVqQzs</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</si>
  <si>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</si>
  <si>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</si>
  <si>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https://www.youtube.com/watch?v=G-i-oYHYBT0</t>
  </si>
  <si>
    <t>T51</t>
  </si>
  <si>
    <t>Legyetek jók, ha tudtok!</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</si>
  <si>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</si>
  <si>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</si>
  <si>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t>
  </si>
  <si>
    <t>https://www.youtube.com/watch?v=TseVKQWTHZo</t>
  </si>
  <si>
    <t>https://www.youtube.com/watch?v=0fm-aKRRCm0</t>
  </si>
  <si>
    <t>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</si>
  <si>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</si>
  <si>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https://www.youtube.com/watch?v=9WYN8Eq0Omc</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</si>
  <si>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</si>
  <si>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</si>
  <si>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</si>
  <si>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</si>
  <si>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t>
  </si>
  <si>
    <t>https://www.youtube.com/watch?v=bkDgNkYmKWA</t>
  </si>
  <si>
    <t>https://www.youtube.com/watch?v=RMFR9ZJZdrs</t>
  </si>
  <si>
    <t>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</si>
  <si>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</si>
  <si>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</si>
  <si>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t>
  </si>
  <si>
    <t xml:space="preserve">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t>
  </si>
  <si>
    <t>https://www.youtube.com/watch?v=Ugd7vTIwH74</t>
  </si>
  <si>
    <t>A hegyvidéken temess el engem,
Ó bella ciao, bella ciao, bella ciao, ciao, ciao,
A hegyvidéken temess el engem,
Legyen virág a síromon.
Az ő virága, a partizáné,
Ó bella ciao, bella ciao, bella ciao, ciao, ciao,
Az ő virága, a partizáné,
Ki a szabadságért halt meg.</t>
  </si>
  <si>
    <t>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</si>
  <si>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</si>
  <si>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</si>
  <si>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</si>
  <si>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</si>
  <si>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</si>
  <si>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https://www.youtube.com/watch?v=YL6ya7FITz8</t>
  </si>
  <si>
    <t>https://www.youtube.com/watch?v=ya3amChrev0</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</si>
  <si>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</si>
  <si>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</si>
  <si>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</si>
  <si>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</si>
  <si>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</si>
  <si>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https://www.youtube.com/watch?v=pnRlWRaizZk</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</si>
  <si>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</si>
  <si>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</si>
  <si>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</si>
  <si>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</si>
  <si>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</si>
  <si>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https://www.youtube.com/watch?v=_HKFnV9oSyM</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</si>
  <si>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</si>
  <si>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</si>
  <si>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</si>
  <si>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</si>
  <si>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</si>
  <si>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https://www.youtube.com/watch?v=GnW6BIBFyME</t>
  </si>
  <si>
    <t>https://www.youtube.com/watch?v=TfNzil_7wrU</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</si>
  <si>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</si>
  <si>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</si>
  <si>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</si>
  <si>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</si>
  <si>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</si>
  <si>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https://www.youtube.com/watch?v=HvhCfVYB_JA</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</si>
  <si>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</si>
  <si>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</si>
  <si>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</si>
  <si>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</si>
  <si>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https://www.youtube.com/watch?v=a1AkJgIT15k</t>
  </si>
  <si>
    <t>https://www.youtube.com/watch?v=y2yTI2HfMwg</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</si>
  <si>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</si>
  <si>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</si>
  <si>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</si>
  <si>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</si>
  <si>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https://www.youtube.com/watch?v=bbF7VVsKYIw</t>
  </si>
  <si>
    <t>https://www.youtube.com/watch?v=wh8YrVzD5t4</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</si>
  <si>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</si>
  <si>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</si>
  <si>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</si>
  <si>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</si>
  <si>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https://www.youtube.com/watch?v=g1aonhGogcc</t>
  </si>
  <si>
    <t>https://www.youtube.com/watch?v=HrpuISwcQJ4</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</si>
  <si>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</si>
  <si>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</si>
  <si>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</si>
  <si>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</si>
  <si>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</si>
  <si>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https://www.youtube.com/watch?v=HE4aAQCghGs</t>
  </si>
  <si>
    <t>https://www.youtube.com/watch?v=IJTVv2ZedA8</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</si>
  <si>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</si>
  <si>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</si>
  <si>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</si>
  <si>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</si>
  <si>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https://www.youtube.com/watch?v=E27kXI8RSTY</t>
  </si>
  <si>
    <t>https://www.youtube.com/watch?v=VtKDPNxPfCw</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</si>
  <si>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</si>
  <si>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</si>
  <si>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</si>
  <si>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</si>
  <si>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https://www.youtube.com/watch?v=ipDej6nFgQg</t>
  </si>
  <si>
    <t>https://www.youtube.com/watch?v=Of7ItDwWnX4</t>
  </si>
  <si>
    <t>T65</t>
  </si>
  <si>
    <t>Ha itt lennél velem</t>
  </si>
  <si>
    <t xml:space="preserve">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t>
  </si>
  <si>
    <t xml:space="preserve">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t>
  </si>
  <si>
    <t>https://www.youtube.com/watch?v=yM9emQMPRgc</t>
  </si>
  <si>
    <t>https://www.youtube.com/watch?v=N0AV_4cZdB4</t>
  </si>
  <si>
    <t>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</si>
  <si>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</si>
  <si>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</si>
  <si>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</si>
  <si>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</si>
  <si>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</si>
  <si>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https://www.youtube.com/watch?v=2LkUu85JLAc</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</si>
  <si>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</si>
  <si>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</si>
  <si>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</si>
  <si>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</si>
  <si>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https://www.youtube.com/watch?v=YukMpEFjoRA</t>
  </si>
  <si>
    <t>https://www.youtube.com/watch?v=GuE1QigNAH0</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</si>
  <si>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</si>
  <si>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</si>
  <si>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</si>
  <si>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</si>
  <si>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</si>
  <si>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https://www.youtube.com/watch?v=ulqbh-ovrLw</t>
  </si>
  <si>
    <t>https://www.youtube.com/watch?v=EnglA2gJK8U</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</si>
  <si>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</si>
  <si>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</si>
  <si>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</si>
  <si>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</si>
  <si>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 xml:space="preserve">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t>
  </si>
  <si>
    <t>https://www.youtube.com/watch?v=5CtKr7Ou3gc</t>
  </si>
  <si>
    <t>https://www.youtube.com/watch?v=rcK69m2FdPA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</si>
  <si>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</si>
  <si>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</si>
  <si>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</si>
  <si>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</si>
  <si>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https://www.youtube.com/watch?v=_fqz5Cb163k</t>
  </si>
  <si>
    <t>https://www.youtube.com/watch?v=6WfaTjj3T4Q</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</si>
  <si>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</si>
  <si>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</si>
  <si>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</si>
  <si>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</si>
  <si>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</si>
  <si>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https://www.youtube.com/watch?v=PcPmokVbz3A</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</si>
  <si>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</si>
  <si>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</si>
  <si>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</si>
  <si>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</si>
  <si>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</si>
  <si>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</si>
  <si>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</si>
  <si>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</si>
  <si>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</si>
  <si>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t>
  </si>
  <si>
    <t>https://www.youtube.com/watch?v=BJceRTvD9Fo</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</si>
  <si>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</si>
  <si>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 xml:space="preserve">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t>
  </si>
  <si>
    <t>T74</t>
  </si>
  <si>
    <t>Örökké tart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</si>
  <si>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</si>
  <si>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</si>
  <si>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https://www.youtube.com/watch?v=gDevCxVY_wA</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</si>
  <si>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</si>
  <si>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</si>
  <si>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</si>
  <si>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</si>
  <si>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</si>
  <si>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</si>
  <si>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</si>
  <si>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https://www.youtube.com/watch?v=dibOoBZySNw</t>
  </si>
  <si>
    <t>https://www.youtube.com/watch?v=M0YZTOqtHbY</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</si>
  <si>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</si>
  <si>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</si>
  <si>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</si>
  <si>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</si>
  <si>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</si>
  <si>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https://www.youtube.com/watch?v=IrKGxPwozFE</t>
  </si>
  <si>
    <t>https://www.youtube.com/watch?v=IEdWxlB8oGU</t>
  </si>
  <si>
    <t>T77</t>
  </si>
  <si>
    <t>Apám hitte</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</si>
  <si>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
  </si>
  <si>
    <t>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t>
  </si>
  <si>
    <t>https://www.youtube.com/watch?v=iKbnFchYWIo</t>
  </si>
  <si>
    <t>https://www.youtube.com/watch?v=X1e3rhz4G7U</t>
  </si>
  <si>
    <t>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t>
  </si>
  <si>
    <t xml:space="preserve">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</si>
  <si>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</si>
  <si>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</si>
  <si>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</si>
  <si>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</si>
  <si>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</si>
  <si>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https://www.youtube.com/watch?v=POjMUHEhbEg</t>
  </si>
  <si>
    <t>https://www.youtube.com/watch?v=ARcJXy1qd-8</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</si>
  <si>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</si>
  <si>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</si>
  <si>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</si>
  <si>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</si>
  <si>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</si>
  <si>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https://www.youtube.com/watch?v=NcpHni_B5iU</t>
  </si>
  <si>
    <t>https://www.youtube.com/watch?v=5wAsgFS9czQ</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</si>
  <si>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</si>
  <si>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</si>
  <si>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</si>
  <si>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</si>
  <si>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</si>
  <si>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</si>
  <si>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https://www.youtube.com/watch?v=QGOiANtGmhE</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</si>
  <si>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</si>
  <si>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</si>
  <si>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</si>
  <si>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</si>
  <si>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https://www.youtube.com/watch?v=2aFlQS4k3wo</t>
  </si>
  <si>
    <t>ZS01</t>
  </si>
  <si>
    <t>Ádon olam</t>
  </si>
  <si>
    <t>אדון עולם</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</si>
  <si>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</si>
  <si>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</si>
  <si>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</si>
  <si>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</si>
  <si>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https://www.youtube.com/watch?v=nvOtcWEFWo8</t>
  </si>
  <si>
    <t>https://www.youtube.com/watch?v=BA6KpR8ToUQ</t>
  </si>
  <si>
    <t>ZS02</t>
  </si>
  <si>
    <t>Máoz cur</t>
  </si>
  <si>
    <t>מעוז צור</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</si>
  <si>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</si>
  <si>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</si>
  <si>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</si>
  <si>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https://www.youtube.com/watch?v=nlug8gnnlyo&amp;pp=ygURbcOhb3ogdHp1ciBsYXVkZXLSBwkJsAkBhyohjO8%3D</t>
  </si>
  <si>
    <t>https://www.youtube.com/watch?v=6l5BtEw3OmI</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</si>
  <si>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</si>
  <si>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</si>
  <si>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</si>
  <si>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</si>
  <si>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https://www.youtube.com/watch?v=G8LNGVs5Udk&amp;pp=ygURbGF1ZGVyIGphdm5lIMOpbHQ%3D</t>
  </si>
  <si>
    <t>ZS04</t>
  </si>
  <si>
    <t>Szevivon, szov szov szov</t>
  </si>
  <si>
    <t>סביבון סוב סוב סוב</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</si>
  <si>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</si>
  <si>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</si>
  <si>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</si>
  <si>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https://www.youtube.com/watch?v=v_oPPJhqAOU</t>
  </si>
  <si>
    <t>ZS05</t>
  </si>
  <si>
    <t>Má nistáná</t>
  </si>
  <si>
    <t>מה נשתנה</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</si>
  <si>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</si>
  <si>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</si>
  <si>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t>
  </si>
  <si>
    <t>https://www.youtube.com/watch?v=N3_pmjqYXG4</t>
  </si>
  <si>
    <t>ZS06</t>
  </si>
  <si>
    <t>Ilu ilu hociánu / Dájénu</t>
  </si>
  <si>
    <t>אילו אילו הוציאנו/דיינו</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</si>
  <si>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</si>
  <si>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</si>
  <si>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https://www.youtube.com/watch?v=cl7pMI20T-0</t>
  </si>
  <si>
    <t>ZS07</t>
  </si>
  <si>
    <t>Ehad mi jodeá</t>
  </si>
  <si>
    <t>אחד מי יודע</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</si>
  <si>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</si>
  <si>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</si>
  <si>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https://www.youtube.com/watch?v=3ACKfzXMPTg</t>
  </si>
  <si>
    <t>ZS08</t>
  </si>
  <si>
    <t>Osze Sálom</t>
  </si>
  <si>
    <t>עושה שלום</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</si>
  <si>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</si>
  <si>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</si>
  <si>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https://www.youtube.com/watch?v=lAEJXdfOLAw</t>
  </si>
  <si>
    <t>ZS09</t>
  </si>
  <si>
    <t>Sálom álehem</t>
  </si>
  <si>
    <t>שלום עליכם</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</si>
  <si>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</si>
  <si>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</si>
  <si>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https://www.youtube.com/watch?v=3vTLMWLyLIc</t>
  </si>
  <si>
    <t>ZS10</t>
  </si>
  <si>
    <t>Sábát Sálom</t>
  </si>
  <si>
    <t>שבת שלום</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</si>
  <si>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</si>
  <si>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</si>
  <si>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</si>
  <si>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https://www.youtube.com/watch?v=7dlassmGVOs</t>
  </si>
  <si>
    <t>https://www.youtube.com/watch?v=QvIQtXI3j3I</t>
  </si>
  <si>
    <t>ZS11</t>
  </si>
  <si>
    <t>Havdala</t>
  </si>
  <si>
    <t>הבדלה</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</si>
  <si>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</si>
  <si>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</si>
  <si>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https://www.youtube.com/watch?v=Gebsb-po8jY</t>
  </si>
  <si>
    <t>ZS12</t>
  </si>
  <si>
    <t>Eliyahu Hanavi</t>
  </si>
  <si>
    <t>אליהו הנביא</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</si>
  <si>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</si>
  <si>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</si>
  <si>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https://www.youtube.com/watch?v=l30lgVThQyE</t>
  </si>
  <si>
    <t>ZS13</t>
  </si>
  <si>
    <t>Lehá Dodi</t>
  </si>
  <si>
    <t>לכה דודי</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</si>
  <si>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</si>
  <si>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</si>
  <si>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</si>
  <si>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https://www.youtube.com/watch?v=kLD5nPIDMrY&amp;pp=0gcJCbAJAYcqIYzv</t>
  </si>
  <si>
    <t>https://www.youtube.com/watch?v=GPHImLW-duQ</t>
  </si>
  <si>
    <t>ZS14</t>
  </si>
  <si>
    <t>Jedid Nefes</t>
  </si>
  <si>
    <t>ידיד נפש</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</si>
  <si>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</si>
  <si>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</si>
  <si>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https://www.youtube.com/watch?v=CeUPHHjecTk</t>
  </si>
  <si>
    <t>ZS15</t>
  </si>
  <si>
    <t>Ávinu málkénu</t>
  </si>
  <si>
    <t>אבינו מלכנו</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</si>
  <si>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</si>
  <si>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</si>
  <si>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https://www.youtube.com/watch?v=iw1r98XYsaQ</t>
  </si>
  <si>
    <t>ZS16</t>
  </si>
  <si>
    <t>Jemé háhánuká</t>
  </si>
  <si>
    <t>ימי החנוכה</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</si>
  <si>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</si>
  <si>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</si>
  <si>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</si>
  <si>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https://www.youtube.com/watch?v=nYJmrYM1qls</t>
  </si>
  <si>
    <t>Oh Hanukkah</t>
  </si>
  <si>
    <t>או חנוכה</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</si>
  <si>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</si>
  <si>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</si>
  <si>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https://www.youtube.com/watch?v=JfJufy7dpO0</t>
  </si>
  <si>
    <t>https://www.youtube.com/watch?v=I6cJ3rQDr3k</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</si>
  <si>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</si>
  <si>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</si>
  <si>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</si>
  <si>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</si>
  <si>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https://www.youtube.com/watch?v=LwEfC2YX4ls</t>
  </si>
  <si>
    <t>ZS18</t>
  </si>
  <si>
    <t>Lesana habaa</t>
  </si>
  <si>
    <t>לשנה הבאה</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</si>
  <si>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</si>
  <si>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</si>
  <si>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https://www.youtube.com/watch?v=uI8Zzmr_T6g</t>
  </si>
  <si>
    <t>ZS19</t>
  </si>
  <si>
    <t>Má jáfe hájom</t>
  </si>
  <si>
    <t>מה יפה היום</t>
  </si>
  <si>
    <t>Issachar Miron</t>
  </si>
  <si>
    <t>Má jáfe hájom,
sábát sálom.
Sábát, sábát sálom.
Sábát sálom.</t>
  </si>
  <si>
    <t>G       Am
Má jáfe hájom,
C     G
sábát sálom.
G        Am
Sábát, sábát sálom.
C        G
Sábát, sábát sálom.
G        Am
Sábát, sábát sálom.
C      G
Sábát sálom.</t>
  </si>
  <si>
    <t>https://www.youtube.com/watch?v=waj5XnMtH0o</t>
  </si>
  <si>
    <t>ZS20</t>
  </si>
  <si>
    <t>Szimen tov</t>
  </si>
  <si>
    <t>סימן טוב</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</si>
  <si>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</si>
  <si>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</si>
  <si>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https://www.youtube.com/watch?v=7pdsVkDqEeE</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</si>
  <si>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</si>
  <si>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</si>
  <si>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</si>
  <si>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</si>
  <si>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</si>
  <si>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https://www.youtube.com/watch?v=o7sHsjeE5rE</t>
  </si>
  <si>
    <t>ZS22</t>
  </si>
  <si>
    <t>Im HaShem Lo Jivneh Báit</t>
  </si>
  <si>
    <t>אם השם לא יבנה בית</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</si>
  <si>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</si>
  <si>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</si>
  <si>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</si>
  <si>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</si>
  <si>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ZS23</t>
  </si>
  <si>
    <t>Csiribiri</t>
  </si>
  <si>
    <t>Kseomár: Lechá dodi
Tomru kulchem: Csiri-biri-bom
Kseomár: Likrát kálá
Tomru kulchem: csiri-biri-bom
Lechá dodi – csiri-biri-bom
likrát káláh – csiri-biri-bom
Lecha dodi, likrát kálá
csiri-biri-biri-biri-bom
csiri-bim…</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</si>
  <si>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</si>
  <si>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</si>
  <si>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</si>
  <si>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</si>
  <si>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</si>
  <si>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</si>
  <si>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</si>
  <si>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</si>
  <si>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</si>
  <si>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</si>
  <si>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</si>
  <si>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</si>
  <si>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</si>
  <si>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</si>
  <si>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</si>
  <si>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</si>
  <si>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</si>
  <si>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</si>
  <si>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</si>
  <si>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</si>
  <si>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</si>
  <si>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</si>
  <si>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</si>
  <si>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</si>
  <si>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</si>
  <si>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</si>
  <si>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</si>
  <si>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</si>
  <si>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</si>
  <si>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</si>
  <si>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</si>
  <si>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</si>
  <si>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</si>
  <si>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</si>
  <si>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</si>
  <si>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</si>
  <si>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</si>
  <si>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</si>
  <si>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</si>
  <si>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</si>
  <si>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</si>
  <si>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</si>
  <si>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</si>
  <si>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</si>
  <si>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</si>
  <si>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</si>
  <si>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</si>
  <si>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</si>
  <si>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</si>
  <si>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</si>
  <si>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</si>
  <si>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</si>
  <si>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</si>
  <si>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</si>
  <si>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</si>
  <si>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</si>
  <si>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</si>
  <si>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</si>
  <si>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</si>
  <si>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</si>
  <si>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</si>
  <si>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</si>
  <si>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</si>
  <si>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</si>
  <si>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</si>
  <si>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</si>
  <si>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</si>
  <si>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</si>
  <si>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</si>
  <si>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</si>
  <si>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</si>
  <si>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</si>
  <si>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</si>
  <si>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</si>
  <si>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</si>
  <si>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</si>
  <si>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</si>
  <si>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</si>
  <si>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</si>
  <si>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</si>
  <si>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</si>
  <si>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</si>
  <si>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</si>
  <si>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SH</t>
  </si>
  <si>
    <t>CH</t>
  </si>
  <si>
    <t>Fonetika</t>
  </si>
  <si>
    <t>fölösleges ismétlések</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</si>
</sst>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0.0"/>
      <color theme="1"/>
      <name val="Consolas"/>
    </font>
    <font>
      <sz val="10.0"/>
      <color theme="1"/>
      <name val="Consolas"/>
    </font>
    <font>
      <sz val="11.0"/>
      <color theme="1"/>
      <name val="Consolas"/>
    </font>
    <font>
      <color theme="1"/>
      <name val="Calibri"/>
      <scheme val="minor"/>
    </font>
    <font>
      <u/>
      <color rgb="FF0563C1"/>
    </font>
    <font>
      <u/>
      <color rgb="FF0000FF"/>
    </font>
    <font>
      <u/>
      <color rgb="FF0000FF"/>
    </font>
    <font>
      <u/>
      <color rgb="FF0000FF"/>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top"/>
    </xf>
    <xf borderId="1" fillId="0" fontId="3" numFmtId="0" xfId="0" applyAlignment="1" applyBorder="1" applyFont="1">
      <alignment horizontal="center" vertical="center"/>
    </xf>
    <xf borderId="1" fillId="0" fontId="4" numFmtId="0" xfId="0" applyBorder="1" applyFont="1"/>
    <xf borderId="0" fillId="0" fontId="5" numFmtId="0" xfId="0" applyAlignment="1" applyFont="1">
      <alignment readingOrder="0"/>
    </xf>
    <xf borderId="0" fillId="0" fontId="4" numFmtId="0" xfId="0" applyFont="1"/>
    <xf borderId="1" fillId="0" fontId="3" numFmtId="0" xfId="0" applyAlignment="1" applyBorder="1" applyFont="1">
      <alignment horizontal="left" shrinkToFit="0" vertical="center" wrapText="1"/>
    </xf>
    <xf borderId="0" fillId="0" fontId="6" numFmtId="0" xfId="0" applyAlignment="1" applyFont="1">
      <alignment readingOrder="0"/>
    </xf>
    <xf borderId="1" fillId="0" fontId="3" numFmtId="0" xfId="0" applyAlignment="1" applyBorder="1" applyFont="1">
      <alignment horizontal="left" readingOrder="0" vertical="center"/>
    </xf>
    <xf borderId="0" fillId="0" fontId="4" numFmtId="0" xfId="0" applyAlignment="1" applyFont="1">
      <alignment readingOrder="0"/>
    </xf>
    <xf borderId="1" fillId="0" fontId="3" numFmtId="0" xfId="0" applyAlignment="1" applyBorder="1" applyFont="1">
      <alignment horizontal="left" readingOrder="0" shrinkToFit="0" vertical="top" wrapText="1"/>
    </xf>
    <xf borderId="0" fillId="0" fontId="7" numFmtId="0" xfId="0" applyAlignment="1" applyFont="1">
      <alignment readingOrder="0" shrinkToFit="0" wrapText="0"/>
    </xf>
    <xf borderId="0" fillId="0" fontId="4" numFmtId="0" xfId="0" applyAlignment="1" applyFont="1">
      <alignment readingOrder="0" shrinkToFit="0" wrapText="0"/>
    </xf>
    <xf quotePrefix="1" borderId="1" fillId="0" fontId="3" numFmtId="0" xfId="0" applyAlignment="1" applyBorder="1" applyFont="1">
      <alignment horizontal="center" readingOrder="0" vertical="center"/>
    </xf>
    <xf borderId="1" fillId="0" fontId="4" numFmtId="0" xfId="0" applyAlignment="1" applyBorder="1" applyFont="1">
      <alignment readingOrder="0"/>
    </xf>
    <xf borderId="0" fillId="0" fontId="4" numFmtId="0" xfId="0" applyFont="1"/>
    <xf borderId="0" fillId="0" fontId="4" numFmtId="0" xfId="0" applyAlignment="1" applyFont="1">
      <alignment shrinkToFit="0" wrapText="0"/>
    </xf>
    <xf borderId="1" fillId="0" fontId="3" numFmtId="0" xfId="0" applyAlignment="1" applyBorder="1" applyFont="1">
      <alignment horizontal="left" shrinkToFit="0" vertical="top" wrapText="1"/>
    </xf>
    <xf borderId="1" fillId="2" fontId="3" numFmtId="0" xfId="0" applyAlignment="1" applyBorder="1" applyFill="1" applyFont="1">
      <alignment horizontal="left" readingOrder="0" shrinkToFit="0" vertical="center" wrapText="1"/>
    </xf>
    <xf borderId="0" fillId="0" fontId="2" numFmtId="0" xfId="0" applyAlignment="1" applyFont="1">
      <alignment horizontal="center" readingOrder="0" vertical="center"/>
    </xf>
    <xf borderId="0" fillId="0" fontId="4" numFmtId="0" xfId="0" applyAlignment="1" applyFont="1">
      <alignment shrinkToFit="0" wrapText="0"/>
    </xf>
    <xf borderId="0" fillId="0" fontId="8" numFmtId="0" xfId="0" applyAlignment="1" applyFont="1">
      <alignment shrinkToFit="0" wrapText="0"/>
    </xf>
    <xf borderId="0" fillId="0" fontId="9" numFmtId="0" xfId="0" applyAlignment="1" applyFont="1">
      <alignment horizontal="center" vertical="center"/>
    </xf>
    <xf borderId="0" fillId="0" fontId="3" numFmtId="0" xfId="0" applyAlignment="1" applyFont="1">
      <alignment horizontal="right" vertical="center"/>
    </xf>
    <xf borderId="0" fillId="0" fontId="3" numFmtId="0" xfId="0" applyAlignment="1" applyFont="1">
      <alignment horizontal="center" vertical="center"/>
    </xf>
    <xf borderId="0" fillId="0" fontId="4" numFmtId="0" xfId="0" applyAlignment="1" applyFont="1">
      <alignment shrinkToFit="0" vertical="center" wrapText="0"/>
    </xf>
    <xf borderId="2" fillId="3" fontId="10" numFmtId="0" xfId="0" applyAlignment="1" applyBorder="1" applyFill="1" applyFont="1">
      <alignment horizontal="center" readingOrder="0" shrinkToFit="0" vertical="center" wrapText="0"/>
    </xf>
    <xf borderId="3" fillId="0" fontId="11" numFmtId="0" xfId="0" applyBorder="1" applyFont="1"/>
    <xf borderId="4" fillId="0" fontId="11" numFmtId="0" xfId="0" applyBorder="1" applyFont="1"/>
    <xf borderId="5" fillId="4" fontId="10" numFmtId="0" xfId="0" applyAlignment="1" applyBorder="1" applyFill="1" applyFont="1">
      <alignment horizontal="center" readingOrder="0" shrinkToFit="0" wrapText="0"/>
    </xf>
    <xf borderId="6" fillId="5" fontId="10" numFmtId="0" xfId="0" applyAlignment="1" applyBorder="1" applyFill="1" applyFont="1">
      <alignment horizontal="center" readingOrder="0"/>
    </xf>
    <xf borderId="7" fillId="6" fontId="10" numFmtId="0" xfId="0" applyAlignment="1" applyBorder="1" applyFill="1" applyFont="1">
      <alignment horizontal="center" readingOrder="0"/>
    </xf>
    <xf borderId="6" fillId="6" fontId="10" numFmtId="0" xfId="0" applyAlignment="1" applyBorder="1" applyFont="1">
      <alignment horizontal="center" readingOrder="0"/>
    </xf>
    <xf borderId="6" fillId="7" fontId="10" numFmtId="0" xfId="0" applyAlignment="1" applyBorder="1" applyFill="1" applyFont="1">
      <alignment horizontal="center"/>
    </xf>
    <xf borderId="6" fillId="8" fontId="10" numFmtId="0" xfId="0" applyAlignment="1" applyBorder="1" applyFill="1" applyFont="1">
      <alignment horizontal="center" readingOrder="0"/>
    </xf>
    <xf borderId="6" fillId="9" fontId="10" numFmtId="0" xfId="0" applyAlignment="1" applyBorder="1" applyFill="1" applyFont="1">
      <alignment horizontal="center" readingOrder="0"/>
    </xf>
    <xf borderId="6" fillId="10" fontId="10" numFmtId="0" xfId="0" applyAlignment="1" applyBorder="1" applyFill="1" applyFont="1">
      <alignment horizontal="center" readingOrder="0"/>
    </xf>
    <xf borderId="7" fillId="11" fontId="10" numFmtId="0" xfId="0" applyAlignment="1" applyBorder="1" applyFill="1" applyFont="1">
      <alignment horizontal="center" readingOrder="0"/>
    </xf>
    <xf borderId="8" fillId="12" fontId="4" numFmtId="0" xfId="0" applyBorder="1" applyFill="1" applyFont="1"/>
    <xf borderId="9" fillId="13" fontId="4" numFmtId="0" xfId="0" applyBorder="1" applyFill="1" applyFont="1"/>
    <xf borderId="10" fillId="14" fontId="4" numFmtId="0" xfId="0" applyBorder="1" applyFill="1" applyFont="1"/>
    <xf borderId="9" fillId="13" fontId="4" numFmtId="0" xfId="0" applyAlignment="1" applyBorder="1" applyFont="1">
      <alignment readingOrder="0"/>
    </xf>
    <xf borderId="9" fillId="14" fontId="12" numFmtId="0" xfId="0" applyAlignment="1" applyBorder="1" applyFont="1">
      <alignment readingOrder="0"/>
    </xf>
    <xf borderId="9" fillId="15" fontId="13" numFmtId="0" xfId="0" applyAlignment="1" applyBorder="1" applyFill="1" applyFont="1">
      <alignment readingOrder="0" shrinkToFit="0" wrapText="0"/>
    </xf>
    <xf borderId="9" fillId="16" fontId="14" numFmtId="0" xfId="0" applyAlignment="1" applyBorder="1" applyFill="1" applyFont="1">
      <alignment readingOrder="0"/>
    </xf>
    <xf borderId="9" fillId="17" fontId="15" numFmtId="0" xfId="0" applyAlignment="1" applyBorder="1" applyFill="1" applyFont="1">
      <alignment readingOrder="0" shrinkToFit="0" wrapText="0"/>
    </xf>
    <xf borderId="9" fillId="18" fontId="16" numFmtId="0" xfId="0" applyAlignment="1" applyBorder="1" applyFill="1" applyFont="1">
      <alignment readingOrder="0" shrinkToFit="0" wrapText="0"/>
    </xf>
    <xf borderId="10" fillId="19" fontId="17" numFmtId="0" xfId="0" applyAlignment="1" applyBorder="1" applyFill="1" applyFont="1">
      <alignment readingOrder="0" shrinkToFit="0" wrapText="0"/>
    </xf>
    <xf borderId="11" fillId="12" fontId="4" numFmtId="0" xfId="0" applyBorder="1" applyFont="1"/>
    <xf borderId="1" fillId="13" fontId="4" numFmtId="0" xfId="0" applyBorder="1" applyFont="1"/>
    <xf borderId="12" fillId="14" fontId="4" numFmtId="0" xfId="0" applyBorder="1" applyFont="1"/>
    <xf borderId="1" fillId="13" fontId="4" numFmtId="0" xfId="0" applyAlignment="1" applyBorder="1" applyFont="1">
      <alignment readingOrder="0"/>
    </xf>
    <xf borderId="1" fillId="14" fontId="4" numFmtId="0" xfId="0" applyBorder="1" applyFont="1"/>
    <xf borderId="1" fillId="15" fontId="4" numFmtId="0" xfId="0" applyBorder="1" applyFont="1"/>
    <xf borderId="1" fillId="16" fontId="4" numFmtId="0" xfId="0" applyBorder="1" applyFont="1"/>
    <xf borderId="1" fillId="17" fontId="4" numFmtId="0" xfId="0" applyAlignment="1" applyBorder="1" applyFont="1">
      <alignment shrinkToFit="0" wrapText="0"/>
    </xf>
    <xf borderId="1" fillId="18" fontId="18" numFmtId="0" xfId="0" applyAlignment="1" applyBorder="1" applyFont="1">
      <alignment readingOrder="0" shrinkToFit="0" wrapText="0"/>
    </xf>
    <xf borderId="12" fillId="19" fontId="19" numFmtId="0" xfId="0" applyAlignment="1" applyBorder="1" applyFont="1">
      <alignment readingOrder="0" shrinkToFit="0" wrapText="0"/>
    </xf>
    <xf borderId="11" fillId="12" fontId="4" numFmtId="0" xfId="0" applyAlignment="1" applyBorder="1" applyFont="1">
      <alignment shrinkToFit="0" wrapText="0"/>
    </xf>
    <xf borderId="1" fillId="13" fontId="4" numFmtId="0" xfId="0" applyAlignment="1" applyBorder="1" applyFont="1">
      <alignment shrinkToFit="0" wrapText="0"/>
    </xf>
    <xf borderId="12" fillId="14" fontId="4" numFmtId="0" xfId="0" applyAlignment="1" applyBorder="1" applyFont="1">
      <alignment shrinkToFit="0" wrapText="0"/>
    </xf>
    <xf borderId="1" fillId="14" fontId="4" numFmtId="0" xfId="0" applyAlignment="1" applyBorder="1" applyFont="1">
      <alignment shrinkToFit="0" wrapText="0"/>
    </xf>
    <xf borderId="1" fillId="15" fontId="4" numFmtId="0" xfId="0" applyAlignment="1" applyBorder="1" applyFont="1">
      <alignment shrinkToFit="0" wrapText="0"/>
    </xf>
    <xf borderId="1" fillId="16" fontId="4" numFmtId="0" xfId="0" applyAlignment="1" applyBorder="1" applyFont="1">
      <alignment shrinkToFit="0" wrapText="0"/>
    </xf>
    <xf borderId="13" fillId="12" fontId="4" numFmtId="0" xfId="0" applyAlignment="1" applyBorder="1" applyFont="1">
      <alignment shrinkToFit="0" wrapText="0"/>
    </xf>
    <xf borderId="14" fillId="13" fontId="4" numFmtId="0" xfId="0" applyAlignment="1" applyBorder="1" applyFont="1">
      <alignment shrinkToFit="0" wrapText="0"/>
    </xf>
    <xf borderId="15" fillId="14" fontId="4" numFmtId="0" xfId="0" applyAlignment="1" applyBorder="1" applyFont="1">
      <alignment shrinkToFit="0" wrapText="0"/>
    </xf>
    <xf borderId="14" fillId="14" fontId="4" numFmtId="0" xfId="0" applyAlignment="1" applyBorder="1" applyFont="1">
      <alignment shrinkToFit="0" wrapText="0"/>
    </xf>
    <xf borderId="14" fillId="15" fontId="4" numFmtId="0" xfId="0" applyAlignment="1" applyBorder="1" applyFont="1">
      <alignment shrinkToFit="0" wrapText="0"/>
    </xf>
    <xf borderId="14" fillId="16" fontId="4" numFmtId="0" xfId="0" applyAlignment="1" applyBorder="1" applyFont="1">
      <alignment shrinkToFit="0" wrapText="0"/>
    </xf>
    <xf borderId="14" fillId="17" fontId="4" numFmtId="0" xfId="0" applyAlignment="1" applyBorder="1" applyFont="1">
      <alignment shrinkToFit="0" wrapText="0"/>
    </xf>
    <xf borderId="14" fillId="18" fontId="4" numFmtId="0" xfId="0" applyAlignment="1" applyBorder="1" applyFont="1">
      <alignment shrinkToFit="0" wrapText="0"/>
    </xf>
    <xf borderId="15" fillId="19" fontId="4" numFmtId="0" xfId="0" applyAlignment="1" applyBorder="1" applyFont="1">
      <alignment shrinkToFit="0" wrapText="0"/>
    </xf>
    <xf borderId="16" fillId="12" fontId="4" numFmtId="0" xfId="0" applyAlignment="1" applyBorder="1" applyFont="1">
      <alignment readingOrder="0"/>
    </xf>
    <xf borderId="17" fillId="0" fontId="11" numFmtId="0" xfId="0" applyBorder="1" applyFont="1"/>
    <xf borderId="18" fillId="0" fontId="11" numFmtId="0" xfId="0" applyBorder="1" applyFont="1"/>
    <xf borderId="5" fillId="5" fontId="10" numFmtId="0" xfId="0" applyAlignment="1" applyBorder="1" applyFont="1">
      <alignment horizontal="center" readingOrder="0" shrinkToFit="0" wrapText="0"/>
    </xf>
    <xf borderId="19" fillId="12" fontId="4" numFmtId="0" xfId="0" applyAlignment="1" applyBorder="1" applyFont="1">
      <alignment readingOrder="0"/>
    </xf>
    <xf borderId="20" fillId="0" fontId="11" numFmtId="0" xfId="0" applyBorder="1" applyFont="1"/>
    <xf borderId="21" fillId="0" fontId="11" numFmtId="0" xfId="0" applyBorder="1" applyFont="1"/>
    <xf borderId="8" fillId="13" fontId="4" numFmtId="0" xfId="0" applyBorder="1" applyFont="1"/>
    <xf borderId="11" fillId="13" fontId="4" numFmtId="0" xfId="0" applyBorder="1" applyFont="1"/>
    <xf borderId="11" fillId="13" fontId="4" numFmtId="0" xfId="0" applyAlignment="1" applyBorder="1" applyFont="1">
      <alignment shrinkToFit="0" wrapText="0"/>
    </xf>
    <xf borderId="13" fillId="13" fontId="4" numFmtId="0" xfId="0" applyAlignment="1" applyBorder="1" applyFont="1">
      <alignment shrinkToFit="0" wrapText="0"/>
    </xf>
    <xf borderId="22" fillId="12" fontId="4" numFmtId="0" xfId="0" applyAlignment="1" applyBorder="1" applyFont="1">
      <alignment readingOrder="0"/>
    </xf>
    <xf borderId="23" fillId="0" fontId="11" numFmtId="0" xfId="0" applyBorder="1" applyFont="1"/>
    <xf borderId="24" fillId="0" fontId="11"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nMOyOlmBYCU" TargetMode="External"/><Relationship Id="rId190" Type="http://schemas.openxmlformats.org/officeDocument/2006/relationships/hyperlink" Target="https://www.youtube.com/watch?v=zexIfl7h88Q" TargetMode="External"/><Relationship Id="rId42" Type="http://schemas.openxmlformats.org/officeDocument/2006/relationships/hyperlink" Target="https://www.youtube.com/watch?v=8CCTiQmK5t4" TargetMode="External"/><Relationship Id="rId41" Type="http://schemas.openxmlformats.org/officeDocument/2006/relationships/hyperlink" Target="https://www.youtube.com/watch?v=V1bFr2SWP1I" TargetMode="External"/><Relationship Id="rId44" Type="http://schemas.openxmlformats.org/officeDocument/2006/relationships/hyperlink" Target="https://www.youtube.com/watch?v=A1dkZrpZgjY" TargetMode="External"/><Relationship Id="rId194" Type="http://schemas.openxmlformats.org/officeDocument/2006/relationships/hyperlink" Target="https://www.youtube.com/watch?v=6MVoEHFwqmw" TargetMode="External"/><Relationship Id="rId43" Type="http://schemas.openxmlformats.org/officeDocument/2006/relationships/hyperlink" Target="https://www.youtube.com/watch?v=0aUav1lx3rA" TargetMode="External"/><Relationship Id="rId193" Type="http://schemas.openxmlformats.org/officeDocument/2006/relationships/hyperlink" Target="https://www.youtube.com/watch?v=BuJBNKVqQzs" TargetMode="External"/><Relationship Id="rId46" Type="http://schemas.openxmlformats.org/officeDocument/2006/relationships/hyperlink" Target="https://www.youtube.com/watch?v=-LT5ZJGj5QA" TargetMode="External"/><Relationship Id="rId192" Type="http://schemas.openxmlformats.org/officeDocument/2006/relationships/hyperlink" Target="https://www.youtube.com/watch?v=6MVoEHFwqmw" TargetMode="External"/><Relationship Id="rId45" Type="http://schemas.openxmlformats.org/officeDocument/2006/relationships/hyperlink" Target="https://www.youtube.com/watch?v=-LT5ZJGj5QA" TargetMode="External"/><Relationship Id="rId191" Type="http://schemas.openxmlformats.org/officeDocument/2006/relationships/hyperlink" Target="https://www.youtube.com/watch?v=0bx7blXygrc" TargetMode="External"/><Relationship Id="rId48" Type="http://schemas.openxmlformats.org/officeDocument/2006/relationships/hyperlink" Target="https://www.youtube.com/watch?v=3P0COo6jSlY" TargetMode="External"/><Relationship Id="rId187" Type="http://schemas.openxmlformats.org/officeDocument/2006/relationships/hyperlink" Target="https://www.youtube.com/watch?v=vrsM-a1m4vE" TargetMode="External"/><Relationship Id="rId47" Type="http://schemas.openxmlformats.org/officeDocument/2006/relationships/hyperlink" Target="https://www.youtube.com/watch?v=FkLQrED71dU" TargetMode="External"/><Relationship Id="rId186" Type="http://schemas.openxmlformats.org/officeDocument/2006/relationships/hyperlink" Target="https://www.youtube.com/watch?v=fNdGG_knKbk" TargetMode="External"/><Relationship Id="rId185" Type="http://schemas.openxmlformats.org/officeDocument/2006/relationships/hyperlink" Target="https://www.youtube.com/watch?v=gFFpM5r5io0" TargetMode="External"/><Relationship Id="rId49" Type="http://schemas.openxmlformats.org/officeDocument/2006/relationships/hyperlink" Target="https://www.youtube.com/watch?v=u1ZvPSpLxCg" TargetMode="External"/><Relationship Id="rId184" Type="http://schemas.openxmlformats.org/officeDocument/2006/relationships/hyperlink" Target="https://www.youtube.com/watch?v=HIKPIJeKjqA" TargetMode="External"/><Relationship Id="rId189" Type="http://schemas.openxmlformats.org/officeDocument/2006/relationships/hyperlink" Target="https://www.youtube.com/watch?v=0bx7blXygrc" TargetMode="External"/><Relationship Id="rId188" Type="http://schemas.openxmlformats.org/officeDocument/2006/relationships/hyperlink" Target="https://www.youtube.com/watch?v=zexIfl7h88Q" TargetMode="External"/><Relationship Id="rId31" Type="http://schemas.openxmlformats.org/officeDocument/2006/relationships/hyperlink" Target="https://www.youtube.com/watch?v=wXTJBr9tt8Q&amp;pp=ygUKWWVzdGVyZGF5IA%3D%3D" TargetMode="External"/><Relationship Id="rId30" Type="http://schemas.openxmlformats.org/officeDocument/2006/relationships/hyperlink" Target="https://www.youtube.com/watch?v=m2uTFF_3MaA"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QK2fzZDdyqg" TargetMode="External"/><Relationship Id="rId32" Type="http://schemas.openxmlformats.org/officeDocument/2006/relationships/hyperlink" Target="https://www.youtube.com/watch?v=NrgmdOz227I" TargetMode="External"/><Relationship Id="rId182" Type="http://schemas.openxmlformats.org/officeDocument/2006/relationships/hyperlink" Target="https://www.youtube.com/watch?v=QK2fzZDdyqg" TargetMode="External"/><Relationship Id="rId35" Type="http://schemas.openxmlformats.org/officeDocument/2006/relationships/hyperlink" Target="https://www.youtube.com/watch?v=wCQfkEkePx8" TargetMode="External"/><Relationship Id="rId181" Type="http://schemas.openxmlformats.org/officeDocument/2006/relationships/hyperlink" Target="https://www.youtube.com/watch?v=4-rbFNt2KUs"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emQUKzGm50o&amp;pp=ygUVdmFsYWtpIG1vbmRqYSBtZWcgbGd0" TargetMode="External"/><Relationship Id="rId37" Type="http://schemas.openxmlformats.org/officeDocument/2006/relationships/hyperlink" Target="https://www.youtube.com/watch?v=k04tX2fvh0o" TargetMode="External"/><Relationship Id="rId176" Type="http://schemas.openxmlformats.org/officeDocument/2006/relationships/hyperlink" Target="https://www.youtube.com/watch?v=BR0p9uLJvJw" TargetMode="External"/><Relationship Id="rId297" Type="http://schemas.openxmlformats.org/officeDocument/2006/relationships/hyperlink" Target="https://www.youtube.com/watch?v=ckVYO9oI8vc" TargetMode="External"/><Relationship Id="rId36" Type="http://schemas.openxmlformats.org/officeDocument/2006/relationships/hyperlink" Target="https://www.youtube.com/watch?v=QzmbR-oQA70" TargetMode="External"/><Relationship Id="rId175" Type="http://schemas.openxmlformats.org/officeDocument/2006/relationships/hyperlink" Target="https://www.youtube.com/watch?v=BR0p9uLJvJw" TargetMode="External"/><Relationship Id="rId296" Type="http://schemas.openxmlformats.org/officeDocument/2006/relationships/hyperlink" Target="https://www.youtube.com/watch?v=o7sHsjeE5rE" TargetMode="External"/><Relationship Id="rId39" Type="http://schemas.openxmlformats.org/officeDocument/2006/relationships/hyperlink" Target="https://www.youtube.com/watch?v=qGyPuey-1Jw" TargetMode="External"/><Relationship Id="rId174" Type="http://schemas.openxmlformats.org/officeDocument/2006/relationships/hyperlink" Target="https://www.youtube.com/watch?v=BR0p9uLJvJw" TargetMode="External"/><Relationship Id="rId295" Type="http://schemas.openxmlformats.org/officeDocument/2006/relationships/hyperlink" Target="https://www.youtube.com/watch?v=7pdsVkDqEeE" TargetMode="External"/><Relationship Id="rId38" Type="http://schemas.openxmlformats.org/officeDocument/2006/relationships/hyperlink" Target="https://www.youtube.com/watch?v=UcCNj3q79Ic" TargetMode="External"/><Relationship Id="rId173" Type="http://schemas.openxmlformats.org/officeDocument/2006/relationships/hyperlink" Target="https://www.youtube.com/watch?v=NGorjBVag0I" TargetMode="External"/><Relationship Id="rId294" Type="http://schemas.openxmlformats.org/officeDocument/2006/relationships/hyperlink" Target="https://www.youtube.com/watch?v=waj5XnMtH0o" TargetMode="External"/><Relationship Id="rId179" Type="http://schemas.openxmlformats.org/officeDocument/2006/relationships/hyperlink" Target="https://www.youtube.com/watch?v=g9oln0zb8II" TargetMode="External"/><Relationship Id="rId178" Type="http://schemas.openxmlformats.org/officeDocument/2006/relationships/hyperlink" Target="https://www.youtube.com/watch?v=NaaWfWR1Yfc&amp;pp=ygUTTmVrZWQgw61yb20gYSBkYWx0IA%3D%3D" TargetMode="External"/><Relationship Id="rId177" Type="http://schemas.openxmlformats.org/officeDocument/2006/relationships/hyperlink" Target="https://www.youtube.com/watch?v=BR0p9uLJvJw" TargetMode="External"/><Relationship Id="rId298" Type="http://schemas.openxmlformats.org/officeDocument/2006/relationships/drawing" Target="../drawings/drawing1.xm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egCy1KoE1Ss" TargetMode="External"/><Relationship Id="rId27" Type="http://schemas.openxmlformats.org/officeDocument/2006/relationships/hyperlink" Target="https://www.youtube.com/watch?v=CGj85pVzRJs&amp;pp=ygUJTGV0IEl0IEJl" TargetMode="External"/><Relationship Id="rId29" Type="http://schemas.openxmlformats.org/officeDocument/2006/relationships/hyperlink" Target="https://www.youtube.com/watch?v=m2uTFF_3MaA"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TseVKQWTHZo"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0fm-aKRRCm0"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TseVKQWTHZo"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G-i-oYHYBT0"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9WYN8Eq0Omc" TargetMode="External"/><Relationship Id="rId84" Type="http://schemas.openxmlformats.org/officeDocument/2006/relationships/hyperlink" Target="https://www.youtube.com/watch?v=jkKYQ3yZ4us" TargetMode="External"/><Relationship Id="rId83" Type="http://schemas.openxmlformats.org/officeDocument/2006/relationships/hyperlink" Target="https://www.youtube.com/watch?v=2gb3jC67Ss8" TargetMode="External"/><Relationship Id="rId86" Type="http://schemas.openxmlformats.org/officeDocument/2006/relationships/hyperlink" Target="https://www.youtube.com/watch?v=ZQaMSGPvXaQ" TargetMode="External"/><Relationship Id="rId85" Type="http://schemas.openxmlformats.org/officeDocument/2006/relationships/hyperlink" Target="https://www.youtube.com/watch?v=uZ8y1Dst8Is" TargetMode="External"/><Relationship Id="rId88" Type="http://schemas.openxmlformats.org/officeDocument/2006/relationships/hyperlink" Target="https://www.youtube.com/watch?v=cnilNaXlmoM" TargetMode="External"/><Relationship Id="rId150" Type="http://schemas.openxmlformats.org/officeDocument/2006/relationships/hyperlink" Target="https://www.youtube.com/watch?v=n_a6OqWqqtk" TargetMode="External"/><Relationship Id="rId271" Type="http://schemas.openxmlformats.org/officeDocument/2006/relationships/hyperlink" Target="https://www.youtube.com/watch?v=nlug8gnnlyo&amp;pp=ygURbcOhb3ogdHp1ciBsYXVkZXLSBwkJsAkBhyohjO8%3D" TargetMode="External"/><Relationship Id="rId87" Type="http://schemas.openxmlformats.org/officeDocument/2006/relationships/hyperlink" Target="https://www.youtube.com/watch?v=pgEPBpcRx0Y" TargetMode="External"/><Relationship Id="rId270" Type="http://schemas.openxmlformats.org/officeDocument/2006/relationships/hyperlink" Target="https://www.youtube.com/watch?v=BA6KpR8ToUQ" TargetMode="External"/><Relationship Id="rId89" Type="http://schemas.openxmlformats.org/officeDocument/2006/relationships/hyperlink" Target="https://www.youtube.com/watch?v=WbKQn5wy3RI" TargetMode="External"/><Relationship Id="rId80" Type="http://schemas.openxmlformats.org/officeDocument/2006/relationships/hyperlink" Target="https://www.youtube.com/watch?v=b5TEg3WO7_Q" TargetMode="External"/><Relationship Id="rId82" Type="http://schemas.openxmlformats.org/officeDocument/2006/relationships/hyperlink" Target="https://www.youtube.com/watch?v=jkKYQ3yZ4us" TargetMode="External"/><Relationship Id="rId81" Type="http://schemas.openxmlformats.org/officeDocument/2006/relationships/hyperlink" Target="https://www.youtube.com/watch?v=2gb3jC67Ss8"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RkMhVN4PHE"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CMs-Eo9OzU" TargetMode="External"/><Relationship Id="rId269" Type="http://schemas.openxmlformats.org/officeDocument/2006/relationships/hyperlink" Target="https://www.youtube.com/watch?v=nvOtcWEFWo8"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lNGvXHXmHL0" TargetMode="External"/><Relationship Id="rId264" Type="http://schemas.openxmlformats.org/officeDocument/2006/relationships/hyperlink" Target="https://www.youtube.com/watch?v=NcpHni_B5iU" TargetMode="External"/><Relationship Id="rId142" Type="http://schemas.openxmlformats.org/officeDocument/2006/relationships/hyperlink" Target="https://www.youtube.com/watch?v=hBZty68vdwA" TargetMode="External"/><Relationship Id="rId263" Type="http://schemas.openxmlformats.org/officeDocument/2006/relationships/hyperlink" Target="https://www.youtube.com/watch?v=ARcJXy1qd-8" TargetMode="External"/><Relationship Id="rId141" Type="http://schemas.openxmlformats.org/officeDocument/2006/relationships/hyperlink" Target="https://www.youtube.com/watch?v=Ke-CJDtZZYM" TargetMode="External"/><Relationship Id="rId262" Type="http://schemas.openxmlformats.org/officeDocument/2006/relationships/hyperlink" Target="https://www.youtube.com/watch?v=POjMUHEhbEg" TargetMode="External"/><Relationship Id="rId140" Type="http://schemas.openxmlformats.org/officeDocument/2006/relationships/hyperlink" Target="https://www.youtube.com/watch?v=Sl2Gr_rMVWw" TargetMode="External"/><Relationship Id="rId261" Type="http://schemas.openxmlformats.org/officeDocument/2006/relationships/hyperlink" Target="https://www.youtube.com/watch?v=X1e3rhz4G7U"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QaYj_k35zkU" TargetMode="External"/><Relationship Id="rId268" Type="http://schemas.openxmlformats.org/officeDocument/2006/relationships/hyperlink" Target="https://www.youtube.com/watch?v=2aFlQS4k3wo"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b_26SkhjGU0" TargetMode="External"/><Relationship Id="rId267" Type="http://schemas.openxmlformats.org/officeDocument/2006/relationships/hyperlink" Target="https://www.youtube.com/watch?v=2aFlQS4k3w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lNGvXHXmHL0" TargetMode="External"/><Relationship Id="rId266" Type="http://schemas.openxmlformats.org/officeDocument/2006/relationships/hyperlink" Target="https://www.youtube.com/watch?v=QGOiANtGmhE"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hBZty68vdwA" TargetMode="External"/><Relationship Id="rId265" Type="http://schemas.openxmlformats.org/officeDocument/2006/relationships/hyperlink" Target="https://www.youtube.com/watch?v=5wAsgFS9czQ" TargetMode="External"/><Relationship Id="rId73" Type="http://schemas.openxmlformats.org/officeDocument/2006/relationships/hyperlink" Target="https://www.youtube.com/watch?v=xpm9lit98mc" TargetMode="External"/><Relationship Id="rId72" Type="http://schemas.openxmlformats.org/officeDocument/2006/relationships/hyperlink" Target="https://www.youtube.com/watch?v=dCB66y5haBU" TargetMode="External"/><Relationship Id="rId75" Type="http://schemas.openxmlformats.org/officeDocument/2006/relationships/hyperlink" Target="https://www.youtube.com/watch?v=tCVfV_9V578" TargetMode="External"/><Relationship Id="rId74" Type="http://schemas.openxmlformats.org/officeDocument/2006/relationships/hyperlink" Target="https://www.youtube.com/watch?v=m9LgCRp0B0Q" TargetMode="External"/><Relationship Id="rId77" Type="http://schemas.openxmlformats.org/officeDocument/2006/relationships/hyperlink" Target="https://www.youtube.com/watch?v=gV4j105Cztw" TargetMode="External"/><Relationship Id="rId260" Type="http://schemas.openxmlformats.org/officeDocument/2006/relationships/hyperlink" Target="https://www.youtube.com/watch?v=iKbnFchYWIo" TargetMode="External"/><Relationship Id="rId76" Type="http://schemas.openxmlformats.org/officeDocument/2006/relationships/hyperlink" Target="https://www.youtube.com/watch?v=tCVfV_9V578" TargetMode="External"/><Relationship Id="rId79" Type="http://schemas.openxmlformats.org/officeDocument/2006/relationships/hyperlink" Target="https://www.youtube.com/watch?v=b5TEg3WO7_Q" TargetMode="External"/><Relationship Id="rId78" Type="http://schemas.openxmlformats.org/officeDocument/2006/relationships/hyperlink" Target="https://www.youtube.com/watch?v=gV4j105Cztw" TargetMode="External"/><Relationship Id="rId71" Type="http://schemas.openxmlformats.org/officeDocument/2006/relationships/hyperlink" Target="https://www.youtube.com/watch?v=dCB66y5haBU" TargetMode="External"/><Relationship Id="rId70" Type="http://schemas.openxmlformats.org/officeDocument/2006/relationships/hyperlink" Target="https://www.youtube.com/watch?v=E4Pyrno1uX8" TargetMode="External"/><Relationship Id="rId139" Type="http://schemas.openxmlformats.org/officeDocument/2006/relationships/hyperlink" Target="https://www.youtube.com/watch?v=OvLfqt9QYNU" TargetMode="External"/><Relationship Id="rId138" Type="http://schemas.openxmlformats.org/officeDocument/2006/relationships/hyperlink" Target="https://www.youtube.com/watch?v=OvLfqt9QYNU" TargetMode="External"/><Relationship Id="rId259" Type="http://schemas.openxmlformats.org/officeDocument/2006/relationships/hyperlink" Target="https://www.youtube.com/watch?v=X1e3rhz4G7U" TargetMode="External"/><Relationship Id="rId137" Type="http://schemas.openxmlformats.org/officeDocument/2006/relationships/hyperlink" Target="https://www.youtube.com/watch?v=KWYNE_AG4Bk" TargetMode="External"/><Relationship Id="rId258" Type="http://schemas.openxmlformats.org/officeDocument/2006/relationships/hyperlink" Target="https://www.youtube.com/watch?v=iKbnFchYWIo" TargetMode="External"/><Relationship Id="rId132" Type="http://schemas.openxmlformats.org/officeDocument/2006/relationships/hyperlink" Target="https://www.youtube.com/watch?v=lm94S_21S5o" TargetMode="External"/><Relationship Id="rId253" Type="http://schemas.openxmlformats.org/officeDocument/2006/relationships/hyperlink" Target="https://www.youtube.com/watch?v=gDevCxVY_wA" TargetMode="External"/><Relationship Id="rId131" Type="http://schemas.openxmlformats.org/officeDocument/2006/relationships/hyperlink" Target="https://www.youtube.com/watch?v=R02BzZH4J1s" TargetMode="External"/><Relationship Id="rId252" Type="http://schemas.openxmlformats.org/officeDocument/2006/relationships/hyperlink" Target="https://www.youtube.com/watch?v=gDevCxVY_wA" TargetMode="External"/><Relationship Id="rId130" Type="http://schemas.openxmlformats.org/officeDocument/2006/relationships/hyperlink" Target="https://www.youtube.com/watch?v=xey4rp0vZOY" TargetMode="External"/><Relationship Id="rId251" Type="http://schemas.openxmlformats.org/officeDocument/2006/relationships/hyperlink" Target="https://www.youtube.com/watch?v=gDevCxVY_wA" TargetMode="External"/><Relationship Id="rId250" Type="http://schemas.openxmlformats.org/officeDocument/2006/relationships/hyperlink" Target="https://www.youtube.com/watch?v=gDevCxVY_wA" TargetMode="External"/><Relationship Id="rId136" Type="http://schemas.openxmlformats.org/officeDocument/2006/relationships/hyperlink" Target="https://www.youtube.com/watch?v=KWYNE_AG4Bk" TargetMode="External"/><Relationship Id="rId257" Type="http://schemas.openxmlformats.org/officeDocument/2006/relationships/hyperlink" Target="https://www.youtube.com/watch?v=IEdWxlB8oGU" TargetMode="External"/><Relationship Id="rId135" Type="http://schemas.openxmlformats.org/officeDocument/2006/relationships/hyperlink" Target="https://www.youtube.com/watch?v=fFixQcPCyjs" TargetMode="External"/><Relationship Id="rId256" Type="http://schemas.openxmlformats.org/officeDocument/2006/relationships/hyperlink" Target="https://www.youtube.com/watch?v=IrKGxPwozFE" TargetMode="External"/><Relationship Id="rId134" Type="http://schemas.openxmlformats.org/officeDocument/2006/relationships/hyperlink" Target="https://www.youtube.com/watch?v=-qWFehHbZ9A" TargetMode="External"/><Relationship Id="rId255" Type="http://schemas.openxmlformats.org/officeDocument/2006/relationships/hyperlink" Target="https://www.youtube.com/watch?v=M0YZTOqtHbY" TargetMode="External"/><Relationship Id="rId133" Type="http://schemas.openxmlformats.org/officeDocument/2006/relationships/hyperlink" Target="https://www.youtube.com/watch?v=T8-8U3PtiPw" TargetMode="External"/><Relationship Id="rId254" Type="http://schemas.openxmlformats.org/officeDocument/2006/relationships/hyperlink" Target="https://www.youtube.com/watch?v=dibOoBZySNw" TargetMode="External"/><Relationship Id="rId62" Type="http://schemas.openxmlformats.org/officeDocument/2006/relationships/hyperlink" Target="https://www.youtube.com/watch?v=tKHHnjrpPrM" TargetMode="External"/><Relationship Id="rId61" Type="http://schemas.openxmlformats.org/officeDocument/2006/relationships/hyperlink" Target="https://www.youtube.com/watch?v=uMwjJVr8DEY" TargetMode="External"/><Relationship Id="rId64" Type="http://schemas.openxmlformats.org/officeDocument/2006/relationships/hyperlink" Target="https://www.youtube.com/watch?v=n6i7x6VXd5w" TargetMode="External"/><Relationship Id="rId63" Type="http://schemas.openxmlformats.org/officeDocument/2006/relationships/hyperlink" Target="https://www.youtube.com/watch?v=1_FHTSlAyZc" TargetMode="External"/><Relationship Id="rId66" Type="http://schemas.openxmlformats.org/officeDocument/2006/relationships/hyperlink" Target="https://www.youtube.com/watch?v=OB11pWRvpvM" TargetMode="External"/><Relationship Id="rId172" Type="http://schemas.openxmlformats.org/officeDocument/2006/relationships/hyperlink" Target="https://www.youtube.com/watch?v=ttEMYvpoR-k" TargetMode="External"/><Relationship Id="rId293" Type="http://schemas.openxmlformats.org/officeDocument/2006/relationships/hyperlink" Target="https://www.youtube.com/watch?v=uI8Zzmr_T6g" TargetMode="External"/><Relationship Id="rId65" Type="http://schemas.openxmlformats.org/officeDocument/2006/relationships/hyperlink" Target="https://www.youtube.com/watch?v=zFMBq-kjtco" TargetMode="External"/><Relationship Id="rId171" Type="http://schemas.openxmlformats.org/officeDocument/2006/relationships/hyperlink" Target="https://www.youtube.com/watch?v=y8AWFf7EAc4" TargetMode="External"/><Relationship Id="rId292" Type="http://schemas.openxmlformats.org/officeDocument/2006/relationships/hyperlink" Target="https://www.youtube.com/watch?v=LwEfC2YX4ls" TargetMode="External"/><Relationship Id="rId68" Type="http://schemas.openxmlformats.org/officeDocument/2006/relationships/hyperlink" Target="https://www.youtube.com/watch?v=rDqG1BI56wo" TargetMode="External"/><Relationship Id="rId170" Type="http://schemas.openxmlformats.org/officeDocument/2006/relationships/hyperlink" Target="https://www.youtube.com/watch?v=ttEMYvpoR-k" TargetMode="External"/><Relationship Id="rId291" Type="http://schemas.openxmlformats.org/officeDocument/2006/relationships/hyperlink" Target="https://www.youtube.com/watch?v=I6cJ3rQDr3k" TargetMode="External"/><Relationship Id="rId67" Type="http://schemas.openxmlformats.org/officeDocument/2006/relationships/hyperlink" Target="https://www.youtube.com/watch?v=O-YSzVszlrc" TargetMode="External"/><Relationship Id="rId290" Type="http://schemas.openxmlformats.org/officeDocument/2006/relationships/hyperlink" Target="https://www.youtube.com/watch?v=JfJufy7dpO0" TargetMode="External"/><Relationship Id="rId60" Type="http://schemas.openxmlformats.org/officeDocument/2006/relationships/hyperlink" Target="https://www.youtube.com/watch?v=CPeqf0gU-tY" TargetMode="External"/><Relationship Id="rId165" Type="http://schemas.openxmlformats.org/officeDocument/2006/relationships/hyperlink" Target="https://www.youtube.com/watch?v=Pe5b5Z2tCLw" TargetMode="External"/><Relationship Id="rId286" Type="http://schemas.openxmlformats.org/officeDocument/2006/relationships/hyperlink" Target="https://www.youtube.com/watch?v=GPHImLW-duQ" TargetMode="External"/><Relationship Id="rId69" Type="http://schemas.openxmlformats.org/officeDocument/2006/relationships/hyperlink" Target="https://www.youtube.com/watch?v=E4Pyrno1uX8&amp;list=RDE4Pyrno1uX8&amp;start_radio=1" TargetMode="External"/><Relationship Id="rId164" Type="http://schemas.openxmlformats.org/officeDocument/2006/relationships/hyperlink" Target="https://www.youtube.com/watch?v=Fy1YVaIlmcs" TargetMode="External"/><Relationship Id="rId285" Type="http://schemas.openxmlformats.org/officeDocument/2006/relationships/hyperlink" Target="https://www.youtube.com/watch?v=kLD5nPIDMrY&amp;pp=0gcJCbAJAYcqIYzv" TargetMode="External"/><Relationship Id="rId163" Type="http://schemas.openxmlformats.org/officeDocument/2006/relationships/hyperlink" Target="https://www.youtube.com/watch?v=Ln8WUSI60QU" TargetMode="External"/><Relationship Id="rId284" Type="http://schemas.openxmlformats.org/officeDocument/2006/relationships/hyperlink" Target="https://www.youtube.com/watch?v=l30lgVThQyE" TargetMode="External"/><Relationship Id="rId162" Type="http://schemas.openxmlformats.org/officeDocument/2006/relationships/hyperlink" Target="https://www.youtube.com/watch?v=EB0VldSw3w0" TargetMode="External"/><Relationship Id="rId283" Type="http://schemas.openxmlformats.org/officeDocument/2006/relationships/hyperlink" Target="https://www.youtube.com/watch?v=Gebsb-po8jY" TargetMode="External"/><Relationship Id="rId169" Type="http://schemas.openxmlformats.org/officeDocument/2006/relationships/hyperlink" Target="https://www.youtube.com/watch?v=hq5oB3ruJiE" TargetMode="External"/><Relationship Id="rId168" Type="http://schemas.openxmlformats.org/officeDocument/2006/relationships/hyperlink" Target="https://www.youtube.com/watch?v=RUuXKgS7feE" TargetMode="External"/><Relationship Id="rId289" Type="http://schemas.openxmlformats.org/officeDocument/2006/relationships/hyperlink" Target="https://www.youtube.com/watch?v=nYJmrYM1qls" TargetMode="External"/><Relationship Id="rId167" Type="http://schemas.openxmlformats.org/officeDocument/2006/relationships/hyperlink" Target="https://www.youtube.com/watch?v=hq5oB3ruJiE" TargetMode="External"/><Relationship Id="rId288" Type="http://schemas.openxmlformats.org/officeDocument/2006/relationships/hyperlink" Target="https://www.youtube.com/watch?v=iw1r98XYsaQ" TargetMode="External"/><Relationship Id="rId166" Type="http://schemas.openxmlformats.org/officeDocument/2006/relationships/hyperlink" Target="https://www.youtube.com/watch?v=RUuXKgS7feE" TargetMode="External"/><Relationship Id="rId287" Type="http://schemas.openxmlformats.org/officeDocument/2006/relationships/hyperlink" Target="https://www.youtube.com/watch?v=CeUPHHjecTk" TargetMode="External"/><Relationship Id="rId51" Type="http://schemas.openxmlformats.org/officeDocument/2006/relationships/hyperlink" Target="https://www.youtube.com/watch?v=N4bFqW_eu2I" TargetMode="External"/><Relationship Id="rId50" Type="http://schemas.openxmlformats.org/officeDocument/2006/relationships/hyperlink" Target="https://www.youtube.com/watch?v=u1ZvPSpLxCg" TargetMode="External"/><Relationship Id="rId53" Type="http://schemas.openxmlformats.org/officeDocument/2006/relationships/hyperlink" Target="https://www.youtube.com/watch?v=NbEa-yckHgM" TargetMode="External"/><Relationship Id="rId52" Type="http://schemas.openxmlformats.org/officeDocument/2006/relationships/hyperlink" Target="https://www.youtube.com/watch?v=egdVf2B2UXE" TargetMode="External"/><Relationship Id="rId55" Type="http://schemas.openxmlformats.org/officeDocument/2006/relationships/hyperlink" Target="https://www.youtube.com/watch?v=r4AITYAEaDM" TargetMode="External"/><Relationship Id="rId161" Type="http://schemas.openxmlformats.org/officeDocument/2006/relationships/hyperlink" Target="https://www.youtube.com/watch?v=w3nQS3SDRnE" TargetMode="External"/><Relationship Id="rId282" Type="http://schemas.openxmlformats.org/officeDocument/2006/relationships/hyperlink" Target="https://www.youtube.com/watch?v=QvIQtXI3j3I" TargetMode="External"/><Relationship Id="rId54" Type="http://schemas.openxmlformats.org/officeDocument/2006/relationships/hyperlink" Target="https://www.youtube.com/watch?v=NbEa-yckHgM" TargetMode="External"/><Relationship Id="rId160" Type="http://schemas.openxmlformats.org/officeDocument/2006/relationships/hyperlink" Target="https://www.youtube.com/watch?v=TdgRQvi6EFg" TargetMode="External"/><Relationship Id="rId281" Type="http://schemas.openxmlformats.org/officeDocument/2006/relationships/hyperlink" Target="https://www.youtube.com/watch?v=7dlassmGVOs" TargetMode="External"/><Relationship Id="rId57" Type="http://schemas.openxmlformats.org/officeDocument/2006/relationships/hyperlink" Target="https://www.youtube.com/watch?v=ml7QV_uUcAI" TargetMode="External"/><Relationship Id="rId280" Type="http://schemas.openxmlformats.org/officeDocument/2006/relationships/hyperlink" Target="https://www.youtube.com/watch?v=3vTLMWLyLIc" TargetMode="External"/><Relationship Id="rId56" Type="http://schemas.openxmlformats.org/officeDocument/2006/relationships/hyperlink" Target="https://www.youtube.com/watch?v=I7CgCDJ9s44" TargetMode="External"/><Relationship Id="rId159" Type="http://schemas.openxmlformats.org/officeDocument/2006/relationships/hyperlink" Target="https://www.youtube.com/watch?v=RjY5haxPUxs" TargetMode="External"/><Relationship Id="rId59" Type="http://schemas.openxmlformats.org/officeDocument/2006/relationships/hyperlink" Target="https://www.youtube.com/watch?v=GUNF_SGlKRI" TargetMode="External"/><Relationship Id="rId154" Type="http://schemas.openxmlformats.org/officeDocument/2006/relationships/hyperlink" Target="https://www.youtube.com/watch?v=eEmWyteg7yo" TargetMode="External"/><Relationship Id="rId275" Type="http://schemas.openxmlformats.org/officeDocument/2006/relationships/hyperlink" Target="https://www.youtube.com/watch?v=v_oPPJhqAOU" TargetMode="External"/><Relationship Id="rId58" Type="http://schemas.openxmlformats.org/officeDocument/2006/relationships/hyperlink" Target="https://www.youtube.com/watch?v=K9sXsJc285k" TargetMode="External"/><Relationship Id="rId153" Type="http://schemas.openxmlformats.org/officeDocument/2006/relationships/hyperlink" Target="https://www.youtube.com/watch?v=eEmWyteg7yo" TargetMode="External"/><Relationship Id="rId274" Type="http://schemas.openxmlformats.org/officeDocument/2006/relationships/hyperlink" Target="https://www.youtube.com/watch?v=v_oPPJhqAOU" TargetMode="External"/><Relationship Id="rId152" Type="http://schemas.openxmlformats.org/officeDocument/2006/relationships/hyperlink" Target="https://www.youtube.com/watch?v=eEmWyteg7yo" TargetMode="External"/><Relationship Id="rId273" Type="http://schemas.openxmlformats.org/officeDocument/2006/relationships/hyperlink" Target="https://www.youtube.com/watch?v=G8LNGVs5Udk&amp;pp=ygURbGF1ZGVyIGphdm5lIMOpbHQ%3D" TargetMode="External"/><Relationship Id="rId151" Type="http://schemas.openxmlformats.org/officeDocument/2006/relationships/hyperlink" Target="https://www.youtube.com/watch?v=sx2EyuqdvH0" TargetMode="External"/><Relationship Id="rId272" Type="http://schemas.openxmlformats.org/officeDocument/2006/relationships/hyperlink" Target="https://www.youtube.com/watch?v=6l5BtEw3OmI" TargetMode="External"/><Relationship Id="rId158" Type="http://schemas.openxmlformats.org/officeDocument/2006/relationships/hyperlink" Target="https://www.youtube.com/watch?v=mMaEeK--SUo" TargetMode="External"/><Relationship Id="rId279" Type="http://schemas.openxmlformats.org/officeDocument/2006/relationships/hyperlink" Target="https://www.youtube.com/watch?v=lAEJXdfOLAw" TargetMode="External"/><Relationship Id="rId157" Type="http://schemas.openxmlformats.org/officeDocument/2006/relationships/hyperlink" Target="https://www.youtube.com/watch?v=xxVqDZcLSyY" TargetMode="External"/><Relationship Id="rId278" Type="http://schemas.openxmlformats.org/officeDocument/2006/relationships/hyperlink" Target="https://www.youtube.com/watch?v=3ACKfzXMPTg" TargetMode="External"/><Relationship Id="rId156" Type="http://schemas.openxmlformats.org/officeDocument/2006/relationships/hyperlink" Target="https://www.youtube.com/watch?v=14jMDziqES4" TargetMode="External"/><Relationship Id="rId277" Type="http://schemas.openxmlformats.org/officeDocument/2006/relationships/hyperlink" Target="https://www.youtube.com/watch?v=cl7pMI20T-0" TargetMode="External"/><Relationship Id="rId155" Type="http://schemas.openxmlformats.org/officeDocument/2006/relationships/hyperlink" Target="https://www.youtube.com/watch?v=eEmWyteg7yo" TargetMode="External"/><Relationship Id="rId276" Type="http://schemas.openxmlformats.org/officeDocument/2006/relationships/hyperlink" Target="https://www.youtube.com/watch?v=N3_pmjqYXG4" TargetMode="External"/><Relationship Id="rId107" Type="http://schemas.openxmlformats.org/officeDocument/2006/relationships/hyperlink" Target="https://www.youtube.com/watch?v=iAY8QPDe-_4" TargetMode="External"/><Relationship Id="rId228" Type="http://schemas.openxmlformats.org/officeDocument/2006/relationships/hyperlink" Target="https://www.youtube.com/watch?v=yM9emQMPRgc" TargetMode="External"/><Relationship Id="rId106" Type="http://schemas.openxmlformats.org/officeDocument/2006/relationships/hyperlink" Target="https://www.youtube.com/watch?v=-DHitqhvTak" TargetMode="External"/><Relationship Id="rId227" Type="http://schemas.openxmlformats.org/officeDocument/2006/relationships/hyperlink" Target="https://www.youtube.com/watch?v=Of7ItDwWnX4" TargetMode="External"/><Relationship Id="rId105" Type="http://schemas.openxmlformats.org/officeDocument/2006/relationships/hyperlink" Target="https://www.youtube.com/watch?v=RVXXgBecbB8" TargetMode="External"/><Relationship Id="rId226" Type="http://schemas.openxmlformats.org/officeDocument/2006/relationships/hyperlink" Target="https://www.youtube.com/watch?v=ipDej6nFgQg" TargetMode="External"/><Relationship Id="rId104" Type="http://schemas.openxmlformats.org/officeDocument/2006/relationships/hyperlink" Target="https://www.youtube.com/watch?v=RVXXgBecbB8" TargetMode="External"/><Relationship Id="rId225" Type="http://schemas.openxmlformats.org/officeDocument/2006/relationships/hyperlink" Target="https://www.youtube.com/watch?v=VtKDPNxPfCw" TargetMode="External"/><Relationship Id="rId109" Type="http://schemas.openxmlformats.org/officeDocument/2006/relationships/hyperlink" Target="https://www.youtube.com/watch?v=IuDWlITFIek" TargetMode="External"/><Relationship Id="rId108" Type="http://schemas.openxmlformats.org/officeDocument/2006/relationships/hyperlink" Target="https://www.youtube.com/watch?v=qPYGPdMkPTo" TargetMode="External"/><Relationship Id="rId229" Type="http://schemas.openxmlformats.org/officeDocument/2006/relationships/hyperlink" Target="https://www.youtube.com/watch?v=N0AV_4cZdB4" TargetMode="External"/><Relationship Id="rId220" Type="http://schemas.openxmlformats.org/officeDocument/2006/relationships/hyperlink" Target="https://www.youtube.com/watch?v=g1aonhGogcc" TargetMode="External"/><Relationship Id="rId103" Type="http://schemas.openxmlformats.org/officeDocument/2006/relationships/hyperlink" Target="https://www.youtube.com/watch?v=3yoUXLHRtf0" TargetMode="External"/><Relationship Id="rId224" Type="http://schemas.openxmlformats.org/officeDocument/2006/relationships/hyperlink" Target="https://www.youtube.com/watch?v=E27kXI8RSTY" TargetMode="External"/><Relationship Id="rId102" Type="http://schemas.openxmlformats.org/officeDocument/2006/relationships/hyperlink" Target="https://www.youtube.com/watch?v=LYBw6XTcww4" TargetMode="External"/><Relationship Id="rId223" Type="http://schemas.openxmlformats.org/officeDocument/2006/relationships/hyperlink" Target="https://www.youtube.com/watch?v=IJTVv2ZedA8" TargetMode="External"/><Relationship Id="rId101" Type="http://schemas.openxmlformats.org/officeDocument/2006/relationships/hyperlink" Target="https://www.youtube.com/watch?v=3yoUXLHRtf0" TargetMode="External"/><Relationship Id="rId222" Type="http://schemas.openxmlformats.org/officeDocument/2006/relationships/hyperlink" Target="https://www.youtube.com/watch?v=HE4aAQCghGs" TargetMode="External"/><Relationship Id="rId100" Type="http://schemas.openxmlformats.org/officeDocument/2006/relationships/hyperlink" Target="https://www.youtube.com/watch?v=LYBw6XTcww4" TargetMode="External"/><Relationship Id="rId221" Type="http://schemas.openxmlformats.org/officeDocument/2006/relationships/hyperlink" Target="https://www.youtube.com/watch?v=HrpuISwcQJ4" TargetMode="External"/><Relationship Id="rId217" Type="http://schemas.openxmlformats.org/officeDocument/2006/relationships/hyperlink" Target="https://www.youtube.com/watch?v=y2yTI2HfMwg" TargetMode="External"/><Relationship Id="rId216" Type="http://schemas.openxmlformats.org/officeDocument/2006/relationships/hyperlink" Target="https://www.youtube.com/watch?v=a1AkJgIT15k" TargetMode="External"/><Relationship Id="rId215" Type="http://schemas.openxmlformats.org/officeDocument/2006/relationships/hyperlink" Target="https://www.youtube.com/watch?v=HvhCfVYB_JA" TargetMode="External"/><Relationship Id="rId214" Type="http://schemas.openxmlformats.org/officeDocument/2006/relationships/hyperlink" Target="https://www.youtube.com/watch?v=TfNzil_7wrU" TargetMode="External"/><Relationship Id="rId219" Type="http://schemas.openxmlformats.org/officeDocument/2006/relationships/hyperlink" Target="https://www.youtube.com/watch?v=wh8YrVzD5t4" TargetMode="External"/><Relationship Id="rId218" Type="http://schemas.openxmlformats.org/officeDocument/2006/relationships/hyperlink" Target="https://www.youtube.com/watch?v=bbF7VVsKYIw" TargetMode="External"/><Relationship Id="rId213" Type="http://schemas.openxmlformats.org/officeDocument/2006/relationships/hyperlink" Target="https://www.youtube.com/watch?v=GnW6BIBFyME" TargetMode="External"/><Relationship Id="rId212" Type="http://schemas.openxmlformats.org/officeDocument/2006/relationships/hyperlink" Target="https://www.youtube.com/watch?v=_HKFnV9oSyM" TargetMode="External"/><Relationship Id="rId211" Type="http://schemas.openxmlformats.org/officeDocument/2006/relationships/hyperlink" Target="https://www.youtube.com/watch?v=pnRlWRaizZk" TargetMode="External"/><Relationship Id="rId210" Type="http://schemas.openxmlformats.org/officeDocument/2006/relationships/hyperlink" Target="https://www.youtube.com/watch?v=pnRlWRaizZk" TargetMode="External"/><Relationship Id="rId129" Type="http://schemas.openxmlformats.org/officeDocument/2006/relationships/hyperlink" Target="https://www.youtube.com/watch?v=j7WRDBhQ6C0" TargetMode="External"/><Relationship Id="rId128" Type="http://schemas.openxmlformats.org/officeDocument/2006/relationships/hyperlink" Target="https://www.youtube.com/watch?v=j7WRDBhQ6C0" TargetMode="External"/><Relationship Id="rId249" Type="http://schemas.openxmlformats.org/officeDocument/2006/relationships/hyperlink" Target="https://www.youtube.com/watch?v=BJceRTvD9Fo" TargetMode="External"/><Relationship Id="rId127" Type="http://schemas.openxmlformats.org/officeDocument/2006/relationships/hyperlink" Target="https://www.youtube.com/watch?v=rfLXXqXIXTE" TargetMode="External"/><Relationship Id="rId248" Type="http://schemas.openxmlformats.org/officeDocument/2006/relationships/hyperlink" Target="https://www.youtube.com/watch?v=BJceRTvD9Fo" TargetMode="External"/><Relationship Id="rId126" Type="http://schemas.openxmlformats.org/officeDocument/2006/relationships/hyperlink" Target="https://www.youtube.com/watch?v=foJUYo02E2w" TargetMode="External"/><Relationship Id="rId247" Type="http://schemas.openxmlformats.org/officeDocument/2006/relationships/hyperlink" Target="https://www.youtube.com/watch?v=BJceRTvD9Fo" TargetMode="External"/><Relationship Id="rId121" Type="http://schemas.openxmlformats.org/officeDocument/2006/relationships/hyperlink" Target="https://www.youtube.com/watch?v=W1ZJr-ZEqPc" TargetMode="External"/><Relationship Id="rId242" Type="http://schemas.openxmlformats.org/officeDocument/2006/relationships/hyperlink" Target="https://www.youtube.com/watch?v=PcPmokVbz3A" TargetMode="External"/><Relationship Id="rId120" Type="http://schemas.openxmlformats.org/officeDocument/2006/relationships/hyperlink" Target="https://www.youtube.com/watch?v=W1ZJr-ZEqPc" TargetMode="External"/><Relationship Id="rId241" Type="http://schemas.openxmlformats.org/officeDocument/2006/relationships/hyperlink" Target="https://www.youtube.com/watch?v=6WfaTjj3T4Q" TargetMode="External"/><Relationship Id="rId240" Type="http://schemas.openxmlformats.org/officeDocument/2006/relationships/hyperlink" Target="https://www.youtube.com/watch?v=_fqz5Cb163k" TargetMode="External"/><Relationship Id="rId125" Type="http://schemas.openxmlformats.org/officeDocument/2006/relationships/hyperlink" Target="https://www.youtube.com/watch?v=LDdamEkxiyU" TargetMode="External"/><Relationship Id="rId246" Type="http://schemas.openxmlformats.org/officeDocument/2006/relationships/hyperlink" Target="https://www.youtube.com/watch?v=BJceRTvD9Fo" TargetMode="External"/><Relationship Id="rId124" Type="http://schemas.openxmlformats.org/officeDocument/2006/relationships/hyperlink" Target="https://www.youtube.com/watch?v=1Kqsfb4UFJI" TargetMode="External"/><Relationship Id="rId245" Type="http://schemas.openxmlformats.org/officeDocument/2006/relationships/hyperlink" Target="https://www.youtube.com/watch?v=OS07TNrrwjU" TargetMode="External"/><Relationship Id="rId123" Type="http://schemas.openxmlformats.org/officeDocument/2006/relationships/hyperlink" Target="https://www.youtube.com/watch?v=hxyEMryOkOU" TargetMode="External"/><Relationship Id="rId244" Type="http://schemas.openxmlformats.org/officeDocument/2006/relationships/hyperlink" Target="https://www.youtube.com/watch?v=OS07TNrrwjU" TargetMode="External"/><Relationship Id="rId122" Type="http://schemas.openxmlformats.org/officeDocument/2006/relationships/hyperlink" Target="https://www.youtube.com/watch?v=hxyEMryOkOU" TargetMode="External"/><Relationship Id="rId243" Type="http://schemas.openxmlformats.org/officeDocument/2006/relationships/hyperlink" Target="https://www.youtube.com/watch?v=PcPmokVbz3A" TargetMode="External"/><Relationship Id="rId95" Type="http://schemas.openxmlformats.org/officeDocument/2006/relationships/hyperlink" Target="https://www.youtube.com/watch?v=_Ojd8CMGvKI" TargetMode="External"/><Relationship Id="rId94" Type="http://schemas.openxmlformats.org/officeDocument/2006/relationships/hyperlink" Target="https://www.youtube.com/watch?v=DKXfvfZ8oFM" TargetMode="External"/><Relationship Id="rId97" Type="http://schemas.openxmlformats.org/officeDocument/2006/relationships/hyperlink" Target="https://www.youtube.com/watch?v=tvUtYu8Osmc" TargetMode="External"/><Relationship Id="rId96" Type="http://schemas.openxmlformats.org/officeDocument/2006/relationships/hyperlink" Target="https://www.youtube.com/watch?v=XQ49bXzQQBQ" TargetMode="External"/><Relationship Id="rId99" Type="http://schemas.openxmlformats.org/officeDocument/2006/relationships/hyperlink" Target="https://www.youtube.com/watch?v=2h2PMTP3duY" TargetMode="External"/><Relationship Id="rId98" Type="http://schemas.openxmlformats.org/officeDocument/2006/relationships/hyperlink" Target="https://www.youtube.com/watch?v=oUM5uS4_4zI" TargetMode="External"/><Relationship Id="rId91" Type="http://schemas.openxmlformats.org/officeDocument/2006/relationships/hyperlink" Target="https://www.youtube.com/watch?v=nAw9q5vLiak" TargetMode="External"/><Relationship Id="rId90" Type="http://schemas.openxmlformats.org/officeDocument/2006/relationships/hyperlink" Target="https://www.youtube.com/watch?v=cLZs2oC3MBE" TargetMode="External"/><Relationship Id="rId93" Type="http://schemas.openxmlformats.org/officeDocument/2006/relationships/hyperlink" Target="https://www.youtube.com/watch?v=a9MUphJg09E" TargetMode="External"/><Relationship Id="rId92" Type="http://schemas.openxmlformats.org/officeDocument/2006/relationships/hyperlink" Target="https://www.youtube.com/watch?v=KkdWzfgclLk" TargetMode="External"/><Relationship Id="rId118" Type="http://schemas.openxmlformats.org/officeDocument/2006/relationships/hyperlink" Target="https://www.youtube.com/watch?v=XBUu_k_nGyw" TargetMode="External"/><Relationship Id="rId239" Type="http://schemas.openxmlformats.org/officeDocument/2006/relationships/hyperlink" Target="https://www.youtube.com/watch?v=rcK69m2FdPA" TargetMode="External"/><Relationship Id="rId117" Type="http://schemas.openxmlformats.org/officeDocument/2006/relationships/hyperlink" Target="https://www.youtube.com/watch?v=V2bOblKkeU0" TargetMode="External"/><Relationship Id="rId238" Type="http://schemas.openxmlformats.org/officeDocument/2006/relationships/hyperlink" Target="https://www.youtube.com/watch?v=5CtKr7Ou3gc" TargetMode="External"/><Relationship Id="rId116" Type="http://schemas.openxmlformats.org/officeDocument/2006/relationships/hyperlink" Target="https://www.youtube.com/watch?v=XBUu_k_nGyw" TargetMode="External"/><Relationship Id="rId237" Type="http://schemas.openxmlformats.org/officeDocument/2006/relationships/hyperlink" Target="https://www.youtube.com/watch?v=EnglA2gJK8U" TargetMode="External"/><Relationship Id="rId115" Type="http://schemas.openxmlformats.org/officeDocument/2006/relationships/hyperlink" Target="https://www.youtube.com/watch?v=QcFMbx_MWkU" TargetMode="External"/><Relationship Id="rId236" Type="http://schemas.openxmlformats.org/officeDocument/2006/relationships/hyperlink" Target="https://www.youtube.com/watch?v=ulqbh-ovrLw" TargetMode="External"/><Relationship Id="rId119" Type="http://schemas.openxmlformats.org/officeDocument/2006/relationships/hyperlink" Target="https://www.youtube.com/watch?v=V2bOblKkeU0" TargetMode="External"/><Relationship Id="rId110" Type="http://schemas.openxmlformats.org/officeDocument/2006/relationships/hyperlink" Target="https://www.youtube.com/watch?v=BWqGIR2Ao1M" TargetMode="External"/><Relationship Id="rId231" Type="http://schemas.openxmlformats.org/officeDocument/2006/relationships/hyperlink" Target="https://www.youtube.com/watch?v=N0AV_4cZdB4" TargetMode="External"/><Relationship Id="rId230" Type="http://schemas.openxmlformats.org/officeDocument/2006/relationships/hyperlink" Target="https://www.youtube.com/watch?v=yM9emQMPRgc" TargetMode="External"/><Relationship Id="rId114" Type="http://schemas.openxmlformats.org/officeDocument/2006/relationships/hyperlink" Target="https://www.youtube.com/watch?v=QLNz8OiSL4Q" TargetMode="External"/><Relationship Id="rId235" Type="http://schemas.openxmlformats.org/officeDocument/2006/relationships/hyperlink" Target="https://www.youtube.com/watch?v=GuE1QigNAH0" TargetMode="External"/><Relationship Id="rId113" Type="http://schemas.openxmlformats.org/officeDocument/2006/relationships/hyperlink" Target="https://www.youtube.com/watch?v=h7XPfmjgJFM" TargetMode="External"/><Relationship Id="rId234" Type="http://schemas.openxmlformats.org/officeDocument/2006/relationships/hyperlink" Target="https://www.youtube.com/watch?v=YukMpEFjoRA" TargetMode="External"/><Relationship Id="rId112" Type="http://schemas.openxmlformats.org/officeDocument/2006/relationships/hyperlink" Target="https://www.youtube.com/watch?v=aX5_y3qSvoU" TargetMode="External"/><Relationship Id="rId233" Type="http://schemas.openxmlformats.org/officeDocument/2006/relationships/hyperlink" Target="https://www.youtube.com/watch?v=2LkUu85JLAc" TargetMode="External"/><Relationship Id="rId111" Type="http://schemas.openxmlformats.org/officeDocument/2006/relationships/hyperlink" Target="https://www.youtube.com/watch?v=BWqGIR2Ao1M" TargetMode="External"/><Relationship Id="rId232" Type="http://schemas.openxmlformats.org/officeDocument/2006/relationships/hyperlink" Target="https://www.youtube.com/watch?v=2LkUu85JLAc" TargetMode="External"/><Relationship Id="rId206" Type="http://schemas.openxmlformats.org/officeDocument/2006/relationships/hyperlink" Target="https://www.youtube.com/watch?v=Ugd7vTIwH74" TargetMode="External"/><Relationship Id="rId205" Type="http://schemas.openxmlformats.org/officeDocument/2006/relationships/hyperlink" Target="https://www.youtube.com/watch?v=A1dkZrpZgjY" TargetMode="External"/><Relationship Id="rId204" Type="http://schemas.openxmlformats.org/officeDocument/2006/relationships/hyperlink" Target="https://www.youtube.com/watch?v=Ugd7vTIwH74" TargetMode="External"/><Relationship Id="rId203" Type="http://schemas.openxmlformats.org/officeDocument/2006/relationships/hyperlink" Target="https://www.youtube.com/watch?v=RMFR9ZJZdrs" TargetMode="External"/><Relationship Id="rId209" Type="http://schemas.openxmlformats.org/officeDocument/2006/relationships/hyperlink" Target="https://www.youtube.com/watch?v=ya3amChrev0" TargetMode="External"/><Relationship Id="rId208" Type="http://schemas.openxmlformats.org/officeDocument/2006/relationships/hyperlink" Target="https://www.youtube.com/watch?v=YL6ya7FITz8" TargetMode="External"/><Relationship Id="rId207" Type="http://schemas.openxmlformats.org/officeDocument/2006/relationships/hyperlink" Target="https://www.youtube.com/watch?v=A1dkZrpZgjY" TargetMode="External"/><Relationship Id="rId202" Type="http://schemas.openxmlformats.org/officeDocument/2006/relationships/hyperlink" Target="https://www.youtube.com/watch?v=bkDgNkYmKWA" TargetMode="External"/><Relationship Id="rId201" Type="http://schemas.openxmlformats.org/officeDocument/2006/relationships/hyperlink" Target="https://www.youtube.com/watch?v=RMFR9ZJZdrs" TargetMode="External"/><Relationship Id="rId200" Type="http://schemas.openxmlformats.org/officeDocument/2006/relationships/hyperlink" Target="https://www.youtube.com/watch?v=bkDgNkYmKW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nMOyOlmBYCU" TargetMode="External"/><Relationship Id="rId190" Type="http://schemas.openxmlformats.org/officeDocument/2006/relationships/hyperlink" Target="https://www.youtube.com/watch?v=zexIfl7h88Q" TargetMode="External"/><Relationship Id="rId42" Type="http://schemas.openxmlformats.org/officeDocument/2006/relationships/hyperlink" Target="https://www.youtube.com/watch?v=8CCTiQmK5t4" TargetMode="External"/><Relationship Id="rId41" Type="http://schemas.openxmlformats.org/officeDocument/2006/relationships/hyperlink" Target="https://www.youtube.com/watch?v=V1bFr2SWP1I" TargetMode="External"/><Relationship Id="rId44" Type="http://schemas.openxmlformats.org/officeDocument/2006/relationships/hyperlink" Target="https://www.youtube.com/watch?v=A1dkZrpZgjY" TargetMode="External"/><Relationship Id="rId194" Type="http://schemas.openxmlformats.org/officeDocument/2006/relationships/hyperlink" Target="https://www.youtube.com/watch?v=6MVoEHFwqmw" TargetMode="External"/><Relationship Id="rId43" Type="http://schemas.openxmlformats.org/officeDocument/2006/relationships/hyperlink" Target="https://www.youtube.com/watch?v=0aUav1lx3rA" TargetMode="External"/><Relationship Id="rId193" Type="http://schemas.openxmlformats.org/officeDocument/2006/relationships/hyperlink" Target="https://www.youtube.com/watch?v=BuJBNKVqQzs" TargetMode="External"/><Relationship Id="rId46" Type="http://schemas.openxmlformats.org/officeDocument/2006/relationships/hyperlink" Target="https://www.youtube.com/watch?v=-LT5ZJGj5QA" TargetMode="External"/><Relationship Id="rId192" Type="http://schemas.openxmlformats.org/officeDocument/2006/relationships/hyperlink" Target="https://www.youtube.com/watch?v=6MVoEHFwqmw" TargetMode="External"/><Relationship Id="rId45" Type="http://schemas.openxmlformats.org/officeDocument/2006/relationships/hyperlink" Target="https://www.youtube.com/watch?v=-LT5ZJGj5QA" TargetMode="External"/><Relationship Id="rId191" Type="http://schemas.openxmlformats.org/officeDocument/2006/relationships/hyperlink" Target="https://www.youtube.com/watch?v=0bx7blXygrc" TargetMode="External"/><Relationship Id="rId48" Type="http://schemas.openxmlformats.org/officeDocument/2006/relationships/hyperlink" Target="https://www.youtube.com/watch?v=3P0COo6jSlY" TargetMode="External"/><Relationship Id="rId187" Type="http://schemas.openxmlformats.org/officeDocument/2006/relationships/hyperlink" Target="https://www.youtube.com/watch?v=vrsM-a1m4vE" TargetMode="External"/><Relationship Id="rId47" Type="http://schemas.openxmlformats.org/officeDocument/2006/relationships/hyperlink" Target="https://www.youtube.com/watch?v=FkLQrED71dU" TargetMode="External"/><Relationship Id="rId186" Type="http://schemas.openxmlformats.org/officeDocument/2006/relationships/hyperlink" Target="https://www.youtube.com/watch?v=fNdGG_knKbk" TargetMode="External"/><Relationship Id="rId185" Type="http://schemas.openxmlformats.org/officeDocument/2006/relationships/hyperlink" Target="https://www.youtube.com/watch?v=gFFpM5r5io0" TargetMode="External"/><Relationship Id="rId49" Type="http://schemas.openxmlformats.org/officeDocument/2006/relationships/hyperlink" Target="https://www.youtube.com/watch?v=u1ZvPSpLxCg" TargetMode="External"/><Relationship Id="rId184" Type="http://schemas.openxmlformats.org/officeDocument/2006/relationships/hyperlink" Target="https://www.youtube.com/watch?v=HIKPIJeKjqA" TargetMode="External"/><Relationship Id="rId189" Type="http://schemas.openxmlformats.org/officeDocument/2006/relationships/hyperlink" Target="https://www.youtube.com/watch?v=0bx7blXygrc" TargetMode="External"/><Relationship Id="rId188" Type="http://schemas.openxmlformats.org/officeDocument/2006/relationships/hyperlink" Target="https://www.youtube.com/watch?v=zexIfl7h88Q" TargetMode="External"/><Relationship Id="rId31" Type="http://schemas.openxmlformats.org/officeDocument/2006/relationships/hyperlink" Target="https://www.youtube.com/watch?v=wXTJBr9tt8Q&amp;pp=ygUKWWVzdGVyZGF5IA%3D%3D" TargetMode="External"/><Relationship Id="rId30" Type="http://schemas.openxmlformats.org/officeDocument/2006/relationships/hyperlink" Target="https://www.youtube.com/watch?v=m2uTFF_3MaA"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QK2fzZDdyqg" TargetMode="External"/><Relationship Id="rId32" Type="http://schemas.openxmlformats.org/officeDocument/2006/relationships/hyperlink" Target="https://www.youtube.com/watch?v=NrgmdOz227I" TargetMode="External"/><Relationship Id="rId182" Type="http://schemas.openxmlformats.org/officeDocument/2006/relationships/hyperlink" Target="https://www.youtube.com/watch?v=QK2fzZDdyqg" TargetMode="External"/><Relationship Id="rId35" Type="http://schemas.openxmlformats.org/officeDocument/2006/relationships/hyperlink" Target="https://www.youtube.com/watch?v=wCQfkEkePx8" TargetMode="External"/><Relationship Id="rId181" Type="http://schemas.openxmlformats.org/officeDocument/2006/relationships/hyperlink" Target="https://www.youtube.com/watch?v=4-rbFNt2KUs"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emQUKzGm50o&amp;pp=ygUVdmFsYWtpIG1vbmRqYSBtZWcgbGd0" TargetMode="External"/><Relationship Id="rId37" Type="http://schemas.openxmlformats.org/officeDocument/2006/relationships/hyperlink" Target="https://www.youtube.com/watch?v=k04tX2fvh0o" TargetMode="External"/><Relationship Id="rId176" Type="http://schemas.openxmlformats.org/officeDocument/2006/relationships/hyperlink" Target="https://www.youtube.com/watch?v=BR0p9uLJvJw" TargetMode="External"/><Relationship Id="rId297" Type="http://schemas.openxmlformats.org/officeDocument/2006/relationships/hyperlink" Target="https://www.youtube.com/watch?v=ckVYO9oI8vc" TargetMode="External"/><Relationship Id="rId36" Type="http://schemas.openxmlformats.org/officeDocument/2006/relationships/hyperlink" Target="https://www.youtube.com/watch?v=QzmbR-oQA70" TargetMode="External"/><Relationship Id="rId175" Type="http://schemas.openxmlformats.org/officeDocument/2006/relationships/hyperlink" Target="https://www.youtube.com/watch?v=BR0p9uLJvJw" TargetMode="External"/><Relationship Id="rId296" Type="http://schemas.openxmlformats.org/officeDocument/2006/relationships/hyperlink" Target="https://www.youtube.com/watch?v=o7sHsjeE5rE" TargetMode="External"/><Relationship Id="rId39" Type="http://schemas.openxmlformats.org/officeDocument/2006/relationships/hyperlink" Target="https://www.youtube.com/watch?v=qGyPuey-1Jw" TargetMode="External"/><Relationship Id="rId174" Type="http://schemas.openxmlformats.org/officeDocument/2006/relationships/hyperlink" Target="https://www.youtube.com/watch?v=BR0p9uLJvJw" TargetMode="External"/><Relationship Id="rId295" Type="http://schemas.openxmlformats.org/officeDocument/2006/relationships/hyperlink" Target="https://www.youtube.com/watch?v=7pdsVkDqEeE" TargetMode="External"/><Relationship Id="rId38" Type="http://schemas.openxmlformats.org/officeDocument/2006/relationships/hyperlink" Target="https://www.youtube.com/watch?v=UcCNj3q79Ic" TargetMode="External"/><Relationship Id="rId173" Type="http://schemas.openxmlformats.org/officeDocument/2006/relationships/hyperlink" Target="https://www.youtube.com/watch?v=NGorjBVag0I" TargetMode="External"/><Relationship Id="rId294" Type="http://schemas.openxmlformats.org/officeDocument/2006/relationships/hyperlink" Target="https://www.youtube.com/watch?v=waj5XnMtH0o" TargetMode="External"/><Relationship Id="rId179" Type="http://schemas.openxmlformats.org/officeDocument/2006/relationships/hyperlink" Target="https://www.youtube.com/watch?v=g9oln0zb8II" TargetMode="External"/><Relationship Id="rId178" Type="http://schemas.openxmlformats.org/officeDocument/2006/relationships/hyperlink" Target="https://www.youtube.com/watch?v=NaaWfWR1Yfc&amp;pp=ygUTTmVrZWQgw61yb20gYSBkYWx0IA%3D%3D" TargetMode="External"/><Relationship Id="rId177" Type="http://schemas.openxmlformats.org/officeDocument/2006/relationships/hyperlink" Target="https://www.youtube.com/watch?v=BR0p9uLJvJw" TargetMode="External"/><Relationship Id="rId298" Type="http://schemas.openxmlformats.org/officeDocument/2006/relationships/drawing" Target="../drawings/drawing2.xm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egCy1KoE1Ss" TargetMode="External"/><Relationship Id="rId27" Type="http://schemas.openxmlformats.org/officeDocument/2006/relationships/hyperlink" Target="https://www.youtube.com/watch?v=CGj85pVzRJs&amp;pp=ygUJTGV0IEl0IEJl" TargetMode="External"/><Relationship Id="rId29" Type="http://schemas.openxmlformats.org/officeDocument/2006/relationships/hyperlink" Target="https://www.youtube.com/watch?v=m2uTFF_3MaA"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TseVKQWTHZo"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0fm-aKRRCm0"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TseVKQWTHZo"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G-i-oYHYBT0"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9WYN8Eq0Omc" TargetMode="External"/><Relationship Id="rId84" Type="http://schemas.openxmlformats.org/officeDocument/2006/relationships/hyperlink" Target="https://www.youtube.com/watch?v=jkKYQ3yZ4us" TargetMode="External"/><Relationship Id="rId83" Type="http://schemas.openxmlformats.org/officeDocument/2006/relationships/hyperlink" Target="https://www.youtube.com/watch?v=2gb3jC67Ss8" TargetMode="External"/><Relationship Id="rId86" Type="http://schemas.openxmlformats.org/officeDocument/2006/relationships/hyperlink" Target="https://www.youtube.com/watch?v=ZQaMSGPvXaQ" TargetMode="External"/><Relationship Id="rId85" Type="http://schemas.openxmlformats.org/officeDocument/2006/relationships/hyperlink" Target="https://www.youtube.com/watch?v=uZ8y1Dst8Is" TargetMode="External"/><Relationship Id="rId88" Type="http://schemas.openxmlformats.org/officeDocument/2006/relationships/hyperlink" Target="https://www.youtube.com/watch?v=cnilNaXlmoM" TargetMode="External"/><Relationship Id="rId150" Type="http://schemas.openxmlformats.org/officeDocument/2006/relationships/hyperlink" Target="https://www.youtube.com/watch?v=n_a6OqWqqtk" TargetMode="External"/><Relationship Id="rId271" Type="http://schemas.openxmlformats.org/officeDocument/2006/relationships/hyperlink" Target="https://www.youtube.com/watch?v=nlug8gnnlyo&amp;pp=ygURbcOhb3ogdHp1ciBsYXVkZXLSBwkJsAkBhyohjO8%3D" TargetMode="External"/><Relationship Id="rId87" Type="http://schemas.openxmlformats.org/officeDocument/2006/relationships/hyperlink" Target="https://www.youtube.com/watch?v=pgEPBpcRx0Y" TargetMode="External"/><Relationship Id="rId270" Type="http://schemas.openxmlformats.org/officeDocument/2006/relationships/hyperlink" Target="https://www.youtube.com/watch?v=BA6KpR8ToUQ" TargetMode="External"/><Relationship Id="rId89" Type="http://schemas.openxmlformats.org/officeDocument/2006/relationships/hyperlink" Target="https://www.youtube.com/watch?v=WbKQn5wy3RI" TargetMode="External"/><Relationship Id="rId80" Type="http://schemas.openxmlformats.org/officeDocument/2006/relationships/hyperlink" Target="https://www.youtube.com/watch?v=b5TEg3WO7_Q" TargetMode="External"/><Relationship Id="rId82" Type="http://schemas.openxmlformats.org/officeDocument/2006/relationships/hyperlink" Target="https://www.youtube.com/watch?v=jkKYQ3yZ4us" TargetMode="External"/><Relationship Id="rId81" Type="http://schemas.openxmlformats.org/officeDocument/2006/relationships/hyperlink" Target="https://www.youtube.com/watch?v=2gb3jC67Ss8"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RkMhVN4PHE"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CMs-Eo9OzU" TargetMode="External"/><Relationship Id="rId269" Type="http://schemas.openxmlformats.org/officeDocument/2006/relationships/hyperlink" Target="https://www.youtube.com/watch?v=nvOtcWEFWo8"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lNGvXHXmHL0" TargetMode="External"/><Relationship Id="rId264" Type="http://schemas.openxmlformats.org/officeDocument/2006/relationships/hyperlink" Target="https://www.youtube.com/watch?v=NcpHni_B5iU" TargetMode="External"/><Relationship Id="rId142" Type="http://schemas.openxmlformats.org/officeDocument/2006/relationships/hyperlink" Target="https://www.youtube.com/watch?v=hBZty68vdwA" TargetMode="External"/><Relationship Id="rId263" Type="http://schemas.openxmlformats.org/officeDocument/2006/relationships/hyperlink" Target="https://www.youtube.com/watch?v=ARcJXy1qd-8" TargetMode="External"/><Relationship Id="rId141" Type="http://schemas.openxmlformats.org/officeDocument/2006/relationships/hyperlink" Target="https://www.youtube.com/watch?v=Ke-CJDtZZYM" TargetMode="External"/><Relationship Id="rId262" Type="http://schemas.openxmlformats.org/officeDocument/2006/relationships/hyperlink" Target="https://www.youtube.com/watch?v=POjMUHEhbEg" TargetMode="External"/><Relationship Id="rId140" Type="http://schemas.openxmlformats.org/officeDocument/2006/relationships/hyperlink" Target="https://www.youtube.com/watch?v=Sl2Gr_rMVWw" TargetMode="External"/><Relationship Id="rId261" Type="http://schemas.openxmlformats.org/officeDocument/2006/relationships/hyperlink" Target="https://www.youtube.com/watch?v=X1e3rhz4G7U"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QaYj_k35zkU" TargetMode="External"/><Relationship Id="rId268" Type="http://schemas.openxmlformats.org/officeDocument/2006/relationships/hyperlink" Target="https://www.youtube.com/watch?v=2aFlQS4k3wo"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b_26SkhjGU0" TargetMode="External"/><Relationship Id="rId267" Type="http://schemas.openxmlformats.org/officeDocument/2006/relationships/hyperlink" Target="https://www.youtube.com/watch?v=2aFlQS4k3w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lNGvXHXmHL0" TargetMode="External"/><Relationship Id="rId266" Type="http://schemas.openxmlformats.org/officeDocument/2006/relationships/hyperlink" Target="https://www.youtube.com/watch?v=QGOiANtGmhE"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hBZty68vdwA" TargetMode="External"/><Relationship Id="rId265" Type="http://schemas.openxmlformats.org/officeDocument/2006/relationships/hyperlink" Target="https://www.youtube.com/watch?v=5wAsgFS9czQ" TargetMode="External"/><Relationship Id="rId73" Type="http://schemas.openxmlformats.org/officeDocument/2006/relationships/hyperlink" Target="https://www.youtube.com/watch?v=xpm9lit98mc" TargetMode="External"/><Relationship Id="rId72" Type="http://schemas.openxmlformats.org/officeDocument/2006/relationships/hyperlink" Target="https://www.youtube.com/watch?v=dCB66y5haBU" TargetMode="External"/><Relationship Id="rId75" Type="http://schemas.openxmlformats.org/officeDocument/2006/relationships/hyperlink" Target="https://www.youtube.com/watch?v=tCVfV_9V578" TargetMode="External"/><Relationship Id="rId74" Type="http://schemas.openxmlformats.org/officeDocument/2006/relationships/hyperlink" Target="https://www.youtube.com/watch?v=m9LgCRp0B0Q" TargetMode="External"/><Relationship Id="rId77" Type="http://schemas.openxmlformats.org/officeDocument/2006/relationships/hyperlink" Target="https://www.youtube.com/watch?v=gV4j105Cztw" TargetMode="External"/><Relationship Id="rId260" Type="http://schemas.openxmlformats.org/officeDocument/2006/relationships/hyperlink" Target="https://www.youtube.com/watch?v=iKbnFchYWIo" TargetMode="External"/><Relationship Id="rId76" Type="http://schemas.openxmlformats.org/officeDocument/2006/relationships/hyperlink" Target="https://www.youtube.com/watch?v=tCVfV_9V578" TargetMode="External"/><Relationship Id="rId79" Type="http://schemas.openxmlformats.org/officeDocument/2006/relationships/hyperlink" Target="https://www.youtube.com/watch?v=b5TEg3WO7_Q" TargetMode="External"/><Relationship Id="rId78" Type="http://schemas.openxmlformats.org/officeDocument/2006/relationships/hyperlink" Target="https://www.youtube.com/watch?v=gV4j105Cztw" TargetMode="External"/><Relationship Id="rId71" Type="http://schemas.openxmlformats.org/officeDocument/2006/relationships/hyperlink" Target="https://www.youtube.com/watch?v=dCB66y5haBU" TargetMode="External"/><Relationship Id="rId70" Type="http://schemas.openxmlformats.org/officeDocument/2006/relationships/hyperlink" Target="https://www.youtube.com/watch?v=E4Pyrno1uX8" TargetMode="External"/><Relationship Id="rId139" Type="http://schemas.openxmlformats.org/officeDocument/2006/relationships/hyperlink" Target="https://www.youtube.com/watch?v=OvLfqt9QYNU" TargetMode="External"/><Relationship Id="rId138" Type="http://schemas.openxmlformats.org/officeDocument/2006/relationships/hyperlink" Target="https://www.youtube.com/watch?v=OvLfqt9QYNU" TargetMode="External"/><Relationship Id="rId259" Type="http://schemas.openxmlformats.org/officeDocument/2006/relationships/hyperlink" Target="https://www.youtube.com/watch?v=X1e3rhz4G7U" TargetMode="External"/><Relationship Id="rId137" Type="http://schemas.openxmlformats.org/officeDocument/2006/relationships/hyperlink" Target="https://www.youtube.com/watch?v=KWYNE_AG4Bk" TargetMode="External"/><Relationship Id="rId258" Type="http://schemas.openxmlformats.org/officeDocument/2006/relationships/hyperlink" Target="https://www.youtube.com/watch?v=iKbnFchYWIo" TargetMode="External"/><Relationship Id="rId132" Type="http://schemas.openxmlformats.org/officeDocument/2006/relationships/hyperlink" Target="https://www.youtube.com/watch?v=lm94S_21S5o" TargetMode="External"/><Relationship Id="rId253" Type="http://schemas.openxmlformats.org/officeDocument/2006/relationships/hyperlink" Target="https://www.youtube.com/watch?v=gDevCxVY_wA" TargetMode="External"/><Relationship Id="rId131" Type="http://schemas.openxmlformats.org/officeDocument/2006/relationships/hyperlink" Target="https://www.youtube.com/watch?v=R02BzZH4J1s" TargetMode="External"/><Relationship Id="rId252" Type="http://schemas.openxmlformats.org/officeDocument/2006/relationships/hyperlink" Target="https://www.youtube.com/watch?v=gDevCxVY_wA" TargetMode="External"/><Relationship Id="rId130" Type="http://schemas.openxmlformats.org/officeDocument/2006/relationships/hyperlink" Target="https://www.youtube.com/watch?v=xey4rp0vZOY" TargetMode="External"/><Relationship Id="rId251" Type="http://schemas.openxmlformats.org/officeDocument/2006/relationships/hyperlink" Target="https://www.youtube.com/watch?v=gDevCxVY_wA" TargetMode="External"/><Relationship Id="rId250" Type="http://schemas.openxmlformats.org/officeDocument/2006/relationships/hyperlink" Target="https://www.youtube.com/watch?v=gDevCxVY_wA" TargetMode="External"/><Relationship Id="rId136" Type="http://schemas.openxmlformats.org/officeDocument/2006/relationships/hyperlink" Target="https://www.youtube.com/watch?v=KWYNE_AG4Bk" TargetMode="External"/><Relationship Id="rId257" Type="http://schemas.openxmlformats.org/officeDocument/2006/relationships/hyperlink" Target="https://www.youtube.com/watch?v=IEdWxlB8oGU" TargetMode="External"/><Relationship Id="rId135" Type="http://schemas.openxmlformats.org/officeDocument/2006/relationships/hyperlink" Target="https://www.youtube.com/watch?v=fFixQcPCyjs" TargetMode="External"/><Relationship Id="rId256" Type="http://schemas.openxmlformats.org/officeDocument/2006/relationships/hyperlink" Target="https://www.youtube.com/watch?v=IrKGxPwozFE" TargetMode="External"/><Relationship Id="rId134" Type="http://schemas.openxmlformats.org/officeDocument/2006/relationships/hyperlink" Target="https://www.youtube.com/watch?v=-qWFehHbZ9A" TargetMode="External"/><Relationship Id="rId255" Type="http://schemas.openxmlformats.org/officeDocument/2006/relationships/hyperlink" Target="https://www.youtube.com/watch?v=M0YZTOqtHbY" TargetMode="External"/><Relationship Id="rId133" Type="http://schemas.openxmlformats.org/officeDocument/2006/relationships/hyperlink" Target="https://www.youtube.com/watch?v=T8-8U3PtiPw" TargetMode="External"/><Relationship Id="rId254" Type="http://schemas.openxmlformats.org/officeDocument/2006/relationships/hyperlink" Target="https://www.youtube.com/watch?v=dibOoBZySNw" TargetMode="External"/><Relationship Id="rId62" Type="http://schemas.openxmlformats.org/officeDocument/2006/relationships/hyperlink" Target="https://www.youtube.com/watch?v=tKHHnjrpPrM" TargetMode="External"/><Relationship Id="rId61" Type="http://schemas.openxmlformats.org/officeDocument/2006/relationships/hyperlink" Target="https://www.youtube.com/watch?v=uMwjJVr8DEY" TargetMode="External"/><Relationship Id="rId64" Type="http://schemas.openxmlformats.org/officeDocument/2006/relationships/hyperlink" Target="https://www.youtube.com/watch?v=n6i7x6VXd5w" TargetMode="External"/><Relationship Id="rId63" Type="http://schemas.openxmlformats.org/officeDocument/2006/relationships/hyperlink" Target="https://www.youtube.com/watch?v=1_FHTSlAyZc" TargetMode="External"/><Relationship Id="rId66" Type="http://schemas.openxmlformats.org/officeDocument/2006/relationships/hyperlink" Target="https://www.youtube.com/watch?v=OB11pWRvpvM" TargetMode="External"/><Relationship Id="rId172" Type="http://schemas.openxmlformats.org/officeDocument/2006/relationships/hyperlink" Target="https://www.youtube.com/watch?v=ttEMYvpoR-k" TargetMode="External"/><Relationship Id="rId293" Type="http://schemas.openxmlformats.org/officeDocument/2006/relationships/hyperlink" Target="https://www.youtube.com/watch?v=uI8Zzmr_T6g" TargetMode="External"/><Relationship Id="rId65" Type="http://schemas.openxmlformats.org/officeDocument/2006/relationships/hyperlink" Target="https://www.youtube.com/watch?v=zFMBq-kjtco" TargetMode="External"/><Relationship Id="rId171" Type="http://schemas.openxmlformats.org/officeDocument/2006/relationships/hyperlink" Target="https://www.youtube.com/watch?v=y8AWFf7EAc4" TargetMode="External"/><Relationship Id="rId292" Type="http://schemas.openxmlformats.org/officeDocument/2006/relationships/hyperlink" Target="https://www.youtube.com/watch?v=LwEfC2YX4ls" TargetMode="External"/><Relationship Id="rId68" Type="http://schemas.openxmlformats.org/officeDocument/2006/relationships/hyperlink" Target="https://www.youtube.com/watch?v=rDqG1BI56wo" TargetMode="External"/><Relationship Id="rId170" Type="http://schemas.openxmlformats.org/officeDocument/2006/relationships/hyperlink" Target="https://www.youtube.com/watch?v=ttEMYvpoR-k" TargetMode="External"/><Relationship Id="rId291" Type="http://schemas.openxmlformats.org/officeDocument/2006/relationships/hyperlink" Target="https://www.youtube.com/watch?v=I6cJ3rQDr3k" TargetMode="External"/><Relationship Id="rId67" Type="http://schemas.openxmlformats.org/officeDocument/2006/relationships/hyperlink" Target="https://www.youtube.com/watch?v=O-YSzVszlrc" TargetMode="External"/><Relationship Id="rId290" Type="http://schemas.openxmlformats.org/officeDocument/2006/relationships/hyperlink" Target="https://www.youtube.com/watch?v=JfJufy7dpO0" TargetMode="External"/><Relationship Id="rId60" Type="http://schemas.openxmlformats.org/officeDocument/2006/relationships/hyperlink" Target="https://www.youtube.com/watch?v=CPeqf0gU-tY" TargetMode="External"/><Relationship Id="rId165" Type="http://schemas.openxmlformats.org/officeDocument/2006/relationships/hyperlink" Target="https://www.youtube.com/watch?v=Pe5b5Z2tCLw" TargetMode="External"/><Relationship Id="rId286" Type="http://schemas.openxmlformats.org/officeDocument/2006/relationships/hyperlink" Target="https://www.youtube.com/watch?v=GPHImLW-duQ" TargetMode="External"/><Relationship Id="rId69" Type="http://schemas.openxmlformats.org/officeDocument/2006/relationships/hyperlink" Target="https://www.youtube.com/watch?v=E4Pyrno1uX8&amp;list=RDE4Pyrno1uX8&amp;start_radio=1" TargetMode="External"/><Relationship Id="rId164" Type="http://schemas.openxmlformats.org/officeDocument/2006/relationships/hyperlink" Target="https://www.youtube.com/watch?v=Fy1YVaIlmcs" TargetMode="External"/><Relationship Id="rId285" Type="http://schemas.openxmlformats.org/officeDocument/2006/relationships/hyperlink" Target="https://www.youtube.com/watch?v=kLD5nPIDMrY&amp;pp=0gcJCbAJAYcqIYzv" TargetMode="External"/><Relationship Id="rId163" Type="http://schemas.openxmlformats.org/officeDocument/2006/relationships/hyperlink" Target="https://www.youtube.com/watch?v=Ln8WUSI60QU" TargetMode="External"/><Relationship Id="rId284" Type="http://schemas.openxmlformats.org/officeDocument/2006/relationships/hyperlink" Target="https://www.youtube.com/watch?v=l30lgVThQyE" TargetMode="External"/><Relationship Id="rId162" Type="http://schemas.openxmlformats.org/officeDocument/2006/relationships/hyperlink" Target="https://www.youtube.com/watch?v=EB0VldSw3w0" TargetMode="External"/><Relationship Id="rId283" Type="http://schemas.openxmlformats.org/officeDocument/2006/relationships/hyperlink" Target="https://www.youtube.com/watch?v=Gebsb-po8jY" TargetMode="External"/><Relationship Id="rId169" Type="http://schemas.openxmlformats.org/officeDocument/2006/relationships/hyperlink" Target="https://www.youtube.com/watch?v=hq5oB3ruJiE" TargetMode="External"/><Relationship Id="rId168" Type="http://schemas.openxmlformats.org/officeDocument/2006/relationships/hyperlink" Target="https://www.youtube.com/watch?v=RUuXKgS7feE" TargetMode="External"/><Relationship Id="rId289" Type="http://schemas.openxmlformats.org/officeDocument/2006/relationships/hyperlink" Target="https://www.youtube.com/watch?v=nYJmrYM1qls" TargetMode="External"/><Relationship Id="rId167" Type="http://schemas.openxmlformats.org/officeDocument/2006/relationships/hyperlink" Target="https://www.youtube.com/watch?v=hq5oB3ruJiE" TargetMode="External"/><Relationship Id="rId288" Type="http://schemas.openxmlformats.org/officeDocument/2006/relationships/hyperlink" Target="https://www.youtube.com/watch?v=iw1r98XYsaQ" TargetMode="External"/><Relationship Id="rId166" Type="http://schemas.openxmlformats.org/officeDocument/2006/relationships/hyperlink" Target="https://www.youtube.com/watch?v=RUuXKgS7feE" TargetMode="External"/><Relationship Id="rId287" Type="http://schemas.openxmlformats.org/officeDocument/2006/relationships/hyperlink" Target="https://www.youtube.com/watch?v=CeUPHHjecTk" TargetMode="External"/><Relationship Id="rId51" Type="http://schemas.openxmlformats.org/officeDocument/2006/relationships/hyperlink" Target="https://www.youtube.com/watch?v=N4bFqW_eu2I" TargetMode="External"/><Relationship Id="rId50" Type="http://schemas.openxmlformats.org/officeDocument/2006/relationships/hyperlink" Target="https://www.youtube.com/watch?v=u1ZvPSpLxCg" TargetMode="External"/><Relationship Id="rId53" Type="http://schemas.openxmlformats.org/officeDocument/2006/relationships/hyperlink" Target="https://www.youtube.com/watch?v=NbEa-yckHgM" TargetMode="External"/><Relationship Id="rId52" Type="http://schemas.openxmlformats.org/officeDocument/2006/relationships/hyperlink" Target="https://www.youtube.com/watch?v=egdVf2B2UXE" TargetMode="External"/><Relationship Id="rId55" Type="http://schemas.openxmlformats.org/officeDocument/2006/relationships/hyperlink" Target="https://www.youtube.com/watch?v=r4AITYAEaDM" TargetMode="External"/><Relationship Id="rId161" Type="http://schemas.openxmlformats.org/officeDocument/2006/relationships/hyperlink" Target="https://www.youtube.com/watch?v=w3nQS3SDRnE" TargetMode="External"/><Relationship Id="rId282" Type="http://schemas.openxmlformats.org/officeDocument/2006/relationships/hyperlink" Target="https://www.youtube.com/watch?v=QvIQtXI3j3I" TargetMode="External"/><Relationship Id="rId54" Type="http://schemas.openxmlformats.org/officeDocument/2006/relationships/hyperlink" Target="https://www.youtube.com/watch?v=NbEa-yckHgM" TargetMode="External"/><Relationship Id="rId160" Type="http://schemas.openxmlformats.org/officeDocument/2006/relationships/hyperlink" Target="https://www.youtube.com/watch?v=TdgRQvi6EFg" TargetMode="External"/><Relationship Id="rId281" Type="http://schemas.openxmlformats.org/officeDocument/2006/relationships/hyperlink" Target="https://www.youtube.com/watch?v=7dlassmGVOs" TargetMode="External"/><Relationship Id="rId57" Type="http://schemas.openxmlformats.org/officeDocument/2006/relationships/hyperlink" Target="https://www.youtube.com/watch?v=ml7QV_uUcAI" TargetMode="External"/><Relationship Id="rId280" Type="http://schemas.openxmlformats.org/officeDocument/2006/relationships/hyperlink" Target="https://www.youtube.com/watch?v=3vTLMWLyLIc" TargetMode="External"/><Relationship Id="rId56" Type="http://schemas.openxmlformats.org/officeDocument/2006/relationships/hyperlink" Target="https://www.youtube.com/watch?v=I7CgCDJ9s44" TargetMode="External"/><Relationship Id="rId159" Type="http://schemas.openxmlformats.org/officeDocument/2006/relationships/hyperlink" Target="https://www.youtube.com/watch?v=RjY5haxPUxs" TargetMode="External"/><Relationship Id="rId59" Type="http://schemas.openxmlformats.org/officeDocument/2006/relationships/hyperlink" Target="https://www.youtube.com/watch?v=GUNF_SGlKRI" TargetMode="External"/><Relationship Id="rId154" Type="http://schemas.openxmlformats.org/officeDocument/2006/relationships/hyperlink" Target="https://www.youtube.com/watch?v=eEmWyteg7yo" TargetMode="External"/><Relationship Id="rId275" Type="http://schemas.openxmlformats.org/officeDocument/2006/relationships/hyperlink" Target="https://www.youtube.com/watch?v=v_oPPJhqAOU" TargetMode="External"/><Relationship Id="rId58" Type="http://schemas.openxmlformats.org/officeDocument/2006/relationships/hyperlink" Target="https://www.youtube.com/watch?v=K9sXsJc285k" TargetMode="External"/><Relationship Id="rId153" Type="http://schemas.openxmlformats.org/officeDocument/2006/relationships/hyperlink" Target="https://www.youtube.com/watch?v=eEmWyteg7yo" TargetMode="External"/><Relationship Id="rId274" Type="http://schemas.openxmlformats.org/officeDocument/2006/relationships/hyperlink" Target="https://www.youtube.com/watch?v=v_oPPJhqAOU" TargetMode="External"/><Relationship Id="rId152" Type="http://schemas.openxmlformats.org/officeDocument/2006/relationships/hyperlink" Target="https://www.youtube.com/watch?v=eEmWyteg7yo" TargetMode="External"/><Relationship Id="rId273" Type="http://schemas.openxmlformats.org/officeDocument/2006/relationships/hyperlink" Target="https://www.youtube.com/watch?v=G8LNGVs5Udk&amp;pp=ygURbGF1ZGVyIGphdm5lIMOpbHQ%3D" TargetMode="External"/><Relationship Id="rId151" Type="http://schemas.openxmlformats.org/officeDocument/2006/relationships/hyperlink" Target="https://www.youtube.com/watch?v=sx2EyuqdvH0" TargetMode="External"/><Relationship Id="rId272" Type="http://schemas.openxmlformats.org/officeDocument/2006/relationships/hyperlink" Target="https://www.youtube.com/watch?v=6l5BtEw3OmI" TargetMode="External"/><Relationship Id="rId158" Type="http://schemas.openxmlformats.org/officeDocument/2006/relationships/hyperlink" Target="https://www.youtube.com/watch?v=mMaEeK--SUo" TargetMode="External"/><Relationship Id="rId279" Type="http://schemas.openxmlformats.org/officeDocument/2006/relationships/hyperlink" Target="https://www.youtube.com/watch?v=lAEJXdfOLAw" TargetMode="External"/><Relationship Id="rId157" Type="http://schemas.openxmlformats.org/officeDocument/2006/relationships/hyperlink" Target="https://www.youtube.com/watch?v=xxVqDZcLSyY" TargetMode="External"/><Relationship Id="rId278" Type="http://schemas.openxmlformats.org/officeDocument/2006/relationships/hyperlink" Target="https://www.youtube.com/watch?v=3ACKfzXMPTg" TargetMode="External"/><Relationship Id="rId156" Type="http://schemas.openxmlformats.org/officeDocument/2006/relationships/hyperlink" Target="https://www.youtube.com/watch?v=14jMDziqES4" TargetMode="External"/><Relationship Id="rId277" Type="http://schemas.openxmlformats.org/officeDocument/2006/relationships/hyperlink" Target="https://www.youtube.com/watch?v=cl7pMI20T-0" TargetMode="External"/><Relationship Id="rId155" Type="http://schemas.openxmlformats.org/officeDocument/2006/relationships/hyperlink" Target="https://www.youtube.com/watch?v=eEmWyteg7yo" TargetMode="External"/><Relationship Id="rId276" Type="http://schemas.openxmlformats.org/officeDocument/2006/relationships/hyperlink" Target="https://www.youtube.com/watch?v=N3_pmjqYXG4" TargetMode="External"/><Relationship Id="rId107" Type="http://schemas.openxmlformats.org/officeDocument/2006/relationships/hyperlink" Target="https://www.youtube.com/watch?v=iAY8QPDe-_4" TargetMode="External"/><Relationship Id="rId228" Type="http://schemas.openxmlformats.org/officeDocument/2006/relationships/hyperlink" Target="https://www.youtube.com/watch?v=yM9emQMPRgc" TargetMode="External"/><Relationship Id="rId106" Type="http://schemas.openxmlformats.org/officeDocument/2006/relationships/hyperlink" Target="https://www.youtube.com/watch?v=-DHitqhvTak" TargetMode="External"/><Relationship Id="rId227" Type="http://schemas.openxmlformats.org/officeDocument/2006/relationships/hyperlink" Target="https://www.youtube.com/watch?v=Of7ItDwWnX4" TargetMode="External"/><Relationship Id="rId105" Type="http://schemas.openxmlformats.org/officeDocument/2006/relationships/hyperlink" Target="https://www.youtube.com/watch?v=RVXXgBecbB8" TargetMode="External"/><Relationship Id="rId226" Type="http://schemas.openxmlformats.org/officeDocument/2006/relationships/hyperlink" Target="https://www.youtube.com/watch?v=ipDej6nFgQg" TargetMode="External"/><Relationship Id="rId104" Type="http://schemas.openxmlformats.org/officeDocument/2006/relationships/hyperlink" Target="https://www.youtube.com/watch?v=RVXXgBecbB8" TargetMode="External"/><Relationship Id="rId225" Type="http://schemas.openxmlformats.org/officeDocument/2006/relationships/hyperlink" Target="https://www.youtube.com/watch?v=VtKDPNxPfCw" TargetMode="External"/><Relationship Id="rId109" Type="http://schemas.openxmlformats.org/officeDocument/2006/relationships/hyperlink" Target="https://www.youtube.com/watch?v=IuDWlITFIek" TargetMode="External"/><Relationship Id="rId108" Type="http://schemas.openxmlformats.org/officeDocument/2006/relationships/hyperlink" Target="https://www.youtube.com/watch?v=qPYGPdMkPTo" TargetMode="External"/><Relationship Id="rId229" Type="http://schemas.openxmlformats.org/officeDocument/2006/relationships/hyperlink" Target="https://www.youtube.com/watch?v=N0AV_4cZdB4" TargetMode="External"/><Relationship Id="rId220" Type="http://schemas.openxmlformats.org/officeDocument/2006/relationships/hyperlink" Target="https://www.youtube.com/watch?v=g1aonhGogcc" TargetMode="External"/><Relationship Id="rId103" Type="http://schemas.openxmlformats.org/officeDocument/2006/relationships/hyperlink" Target="https://www.youtube.com/watch?v=3yoUXLHRtf0" TargetMode="External"/><Relationship Id="rId224" Type="http://schemas.openxmlformats.org/officeDocument/2006/relationships/hyperlink" Target="https://www.youtube.com/watch?v=E27kXI8RSTY" TargetMode="External"/><Relationship Id="rId102" Type="http://schemas.openxmlformats.org/officeDocument/2006/relationships/hyperlink" Target="https://www.youtube.com/watch?v=LYBw6XTcww4" TargetMode="External"/><Relationship Id="rId223" Type="http://schemas.openxmlformats.org/officeDocument/2006/relationships/hyperlink" Target="https://www.youtube.com/watch?v=IJTVv2ZedA8" TargetMode="External"/><Relationship Id="rId101" Type="http://schemas.openxmlformats.org/officeDocument/2006/relationships/hyperlink" Target="https://www.youtube.com/watch?v=3yoUXLHRtf0" TargetMode="External"/><Relationship Id="rId222" Type="http://schemas.openxmlformats.org/officeDocument/2006/relationships/hyperlink" Target="https://www.youtube.com/watch?v=HE4aAQCghGs" TargetMode="External"/><Relationship Id="rId100" Type="http://schemas.openxmlformats.org/officeDocument/2006/relationships/hyperlink" Target="https://www.youtube.com/watch?v=LYBw6XTcww4" TargetMode="External"/><Relationship Id="rId221" Type="http://schemas.openxmlformats.org/officeDocument/2006/relationships/hyperlink" Target="https://www.youtube.com/watch?v=HrpuISwcQJ4" TargetMode="External"/><Relationship Id="rId217" Type="http://schemas.openxmlformats.org/officeDocument/2006/relationships/hyperlink" Target="https://www.youtube.com/watch?v=y2yTI2HfMwg" TargetMode="External"/><Relationship Id="rId216" Type="http://schemas.openxmlformats.org/officeDocument/2006/relationships/hyperlink" Target="https://www.youtube.com/watch?v=a1AkJgIT15k" TargetMode="External"/><Relationship Id="rId215" Type="http://schemas.openxmlformats.org/officeDocument/2006/relationships/hyperlink" Target="https://www.youtube.com/watch?v=HvhCfVYB_JA" TargetMode="External"/><Relationship Id="rId214" Type="http://schemas.openxmlformats.org/officeDocument/2006/relationships/hyperlink" Target="https://www.youtube.com/watch?v=TfNzil_7wrU" TargetMode="External"/><Relationship Id="rId219" Type="http://schemas.openxmlformats.org/officeDocument/2006/relationships/hyperlink" Target="https://www.youtube.com/watch?v=wh8YrVzD5t4" TargetMode="External"/><Relationship Id="rId218" Type="http://schemas.openxmlformats.org/officeDocument/2006/relationships/hyperlink" Target="https://www.youtube.com/watch?v=bbF7VVsKYIw" TargetMode="External"/><Relationship Id="rId213" Type="http://schemas.openxmlformats.org/officeDocument/2006/relationships/hyperlink" Target="https://www.youtube.com/watch?v=GnW6BIBFyME" TargetMode="External"/><Relationship Id="rId212" Type="http://schemas.openxmlformats.org/officeDocument/2006/relationships/hyperlink" Target="https://www.youtube.com/watch?v=_HKFnV9oSyM" TargetMode="External"/><Relationship Id="rId211" Type="http://schemas.openxmlformats.org/officeDocument/2006/relationships/hyperlink" Target="https://www.youtube.com/watch?v=pnRlWRaizZk" TargetMode="External"/><Relationship Id="rId210" Type="http://schemas.openxmlformats.org/officeDocument/2006/relationships/hyperlink" Target="https://www.youtube.com/watch?v=pnRlWRaizZk" TargetMode="External"/><Relationship Id="rId129" Type="http://schemas.openxmlformats.org/officeDocument/2006/relationships/hyperlink" Target="https://www.youtube.com/watch?v=j7WRDBhQ6C0" TargetMode="External"/><Relationship Id="rId128" Type="http://schemas.openxmlformats.org/officeDocument/2006/relationships/hyperlink" Target="https://www.youtube.com/watch?v=j7WRDBhQ6C0" TargetMode="External"/><Relationship Id="rId249" Type="http://schemas.openxmlformats.org/officeDocument/2006/relationships/hyperlink" Target="https://www.youtube.com/watch?v=BJceRTvD9Fo" TargetMode="External"/><Relationship Id="rId127" Type="http://schemas.openxmlformats.org/officeDocument/2006/relationships/hyperlink" Target="https://www.youtube.com/watch?v=rfLXXqXIXTE" TargetMode="External"/><Relationship Id="rId248" Type="http://schemas.openxmlformats.org/officeDocument/2006/relationships/hyperlink" Target="https://www.youtube.com/watch?v=BJceRTvD9Fo" TargetMode="External"/><Relationship Id="rId126" Type="http://schemas.openxmlformats.org/officeDocument/2006/relationships/hyperlink" Target="https://www.youtube.com/watch?v=foJUYo02E2w" TargetMode="External"/><Relationship Id="rId247" Type="http://schemas.openxmlformats.org/officeDocument/2006/relationships/hyperlink" Target="https://www.youtube.com/watch?v=BJceRTvD9Fo" TargetMode="External"/><Relationship Id="rId121" Type="http://schemas.openxmlformats.org/officeDocument/2006/relationships/hyperlink" Target="https://www.youtube.com/watch?v=W1ZJr-ZEqPc" TargetMode="External"/><Relationship Id="rId242" Type="http://schemas.openxmlformats.org/officeDocument/2006/relationships/hyperlink" Target="https://www.youtube.com/watch?v=PcPmokVbz3A" TargetMode="External"/><Relationship Id="rId120" Type="http://schemas.openxmlformats.org/officeDocument/2006/relationships/hyperlink" Target="https://www.youtube.com/watch?v=W1ZJr-ZEqPc" TargetMode="External"/><Relationship Id="rId241" Type="http://schemas.openxmlformats.org/officeDocument/2006/relationships/hyperlink" Target="https://www.youtube.com/watch?v=6WfaTjj3T4Q" TargetMode="External"/><Relationship Id="rId240" Type="http://schemas.openxmlformats.org/officeDocument/2006/relationships/hyperlink" Target="https://www.youtube.com/watch?v=_fqz5Cb163k" TargetMode="External"/><Relationship Id="rId125" Type="http://schemas.openxmlformats.org/officeDocument/2006/relationships/hyperlink" Target="https://www.youtube.com/watch?v=LDdamEkxiyU" TargetMode="External"/><Relationship Id="rId246" Type="http://schemas.openxmlformats.org/officeDocument/2006/relationships/hyperlink" Target="https://www.youtube.com/watch?v=BJceRTvD9Fo" TargetMode="External"/><Relationship Id="rId124" Type="http://schemas.openxmlformats.org/officeDocument/2006/relationships/hyperlink" Target="https://www.youtube.com/watch?v=1Kqsfb4UFJI" TargetMode="External"/><Relationship Id="rId245" Type="http://schemas.openxmlformats.org/officeDocument/2006/relationships/hyperlink" Target="https://www.youtube.com/watch?v=OS07TNrrwjU" TargetMode="External"/><Relationship Id="rId123" Type="http://schemas.openxmlformats.org/officeDocument/2006/relationships/hyperlink" Target="https://www.youtube.com/watch?v=hxyEMryOkOU" TargetMode="External"/><Relationship Id="rId244" Type="http://schemas.openxmlformats.org/officeDocument/2006/relationships/hyperlink" Target="https://www.youtube.com/watch?v=OS07TNrrwjU" TargetMode="External"/><Relationship Id="rId122" Type="http://schemas.openxmlformats.org/officeDocument/2006/relationships/hyperlink" Target="https://www.youtube.com/watch?v=hxyEMryOkOU" TargetMode="External"/><Relationship Id="rId243" Type="http://schemas.openxmlformats.org/officeDocument/2006/relationships/hyperlink" Target="https://www.youtube.com/watch?v=PcPmokVbz3A" TargetMode="External"/><Relationship Id="rId95" Type="http://schemas.openxmlformats.org/officeDocument/2006/relationships/hyperlink" Target="https://www.youtube.com/watch?v=_Ojd8CMGvKI" TargetMode="External"/><Relationship Id="rId94" Type="http://schemas.openxmlformats.org/officeDocument/2006/relationships/hyperlink" Target="https://www.youtube.com/watch?v=DKXfvfZ8oFM" TargetMode="External"/><Relationship Id="rId97" Type="http://schemas.openxmlformats.org/officeDocument/2006/relationships/hyperlink" Target="https://www.youtube.com/watch?v=tvUtYu8Osmc" TargetMode="External"/><Relationship Id="rId96" Type="http://schemas.openxmlformats.org/officeDocument/2006/relationships/hyperlink" Target="https://www.youtube.com/watch?v=XQ49bXzQQBQ" TargetMode="External"/><Relationship Id="rId99" Type="http://schemas.openxmlformats.org/officeDocument/2006/relationships/hyperlink" Target="https://www.youtube.com/watch?v=2h2PMTP3duY" TargetMode="External"/><Relationship Id="rId98" Type="http://schemas.openxmlformats.org/officeDocument/2006/relationships/hyperlink" Target="https://www.youtube.com/watch?v=oUM5uS4_4zI" TargetMode="External"/><Relationship Id="rId91" Type="http://schemas.openxmlformats.org/officeDocument/2006/relationships/hyperlink" Target="https://www.youtube.com/watch?v=nAw9q5vLiak" TargetMode="External"/><Relationship Id="rId90" Type="http://schemas.openxmlformats.org/officeDocument/2006/relationships/hyperlink" Target="https://www.youtube.com/watch?v=cLZs2oC3MBE" TargetMode="External"/><Relationship Id="rId93" Type="http://schemas.openxmlformats.org/officeDocument/2006/relationships/hyperlink" Target="https://www.youtube.com/watch?v=a9MUphJg09E" TargetMode="External"/><Relationship Id="rId92" Type="http://schemas.openxmlformats.org/officeDocument/2006/relationships/hyperlink" Target="https://www.youtube.com/watch?v=KkdWzfgclLk" TargetMode="External"/><Relationship Id="rId118" Type="http://schemas.openxmlformats.org/officeDocument/2006/relationships/hyperlink" Target="https://www.youtube.com/watch?v=XBUu_k_nGyw" TargetMode="External"/><Relationship Id="rId239" Type="http://schemas.openxmlformats.org/officeDocument/2006/relationships/hyperlink" Target="https://www.youtube.com/watch?v=rcK69m2FdPA" TargetMode="External"/><Relationship Id="rId117" Type="http://schemas.openxmlformats.org/officeDocument/2006/relationships/hyperlink" Target="https://www.youtube.com/watch?v=V2bOblKkeU0" TargetMode="External"/><Relationship Id="rId238" Type="http://schemas.openxmlformats.org/officeDocument/2006/relationships/hyperlink" Target="https://www.youtube.com/watch?v=5CtKr7Ou3gc" TargetMode="External"/><Relationship Id="rId116" Type="http://schemas.openxmlformats.org/officeDocument/2006/relationships/hyperlink" Target="https://www.youtube.com/watch?v=XBUu_k_nGyw" TargetMode="External"/><Relationship Id="rId237" Type="http://schemas.openxmlformats.org/officeDocument/2006/relationships/hyperlink" Target="https://www.youtube.com/watch?v=EnglA2gJK8U" TargetMode="External"/><Relationship Id="rId115" Type="http://schemas.openxmlformats.org/officeDocument/2006/relationships/hyperlink" Target="https://www.youtube.com/watch?v=QcFMbx_MWkU" TargetMode="External"/><Relationship Id="rId236" Type="http://schemas.openxmlformats.org/officeDocument/2006/relationships/hyperlink" Target="https://www.youtube.com/watch?v=ulqbh-ovrLw" TargetMode="External"/><Relationship Id="rId119" Type="http://schemas.openxmlformats.org/officeDocument/2006/relationships/hyperlink" Target="https://www.youtube.com/watch?v=V2bOblKkeU0" TargetMode="External"/><Relationship Id="rId110" Type="http://schemas.openxmlformats.org/officeDocument/2006/relationships/hyperlink" Target="https://www.youtube.com/watch?v=BWqGIR2Ao1M" TargetMode="External"/><Relationship Id="rId231" Type="http://schemas.openxmlformats.org/officeDocument/2006/relationships/hyperlink" Target="https://www.youtube.com/watch?v=N0AV_4cZdB4" TargetMode="External"/><Relationship Id="rId230" Type="http://schemas.openxmlformats.org/officeDocument/2006/relationships/hyperlink" Target="https://www.youtube.com/watch?v=yM9emQMPRgc" TargetMode="External"/><Relationship Id="rId114" Type="http://schemas.openxmlformats.org/officeDocument/2006/relationships/hyperlink" Target="https://www.youtube.com/watch?v=QLNz8OiSL4Q" TargetMode="External"/><Relationship Id="rId235" Type="http://schemas.openxmlformats.org/officeDocument/2006/relationships/hyperlink" Target="https://www.youtube.com/watch?v=GuE1QigNAH0" TargetMode="External"/><Relationship Id="rId113" Type="http://schemas.openxmlformats.org/officeDocument/2006/relationships/hyperlink" Target="https://www.youtube.com/watch?v=h7XPfmjgJFM" TargetMode="External"/><Relationship Id="rId234" Type="http://schemas.openxmlformats.org/officeDocument/2006/relationships/hyperlink" Target="https://www.youtube.com/watch?v=YukMpEFjoRA" TargetMode="External"/><Relationship Id="rId112" Type="http://schemas.openxmlformats.org/officeDocument/2006/relationships/hyperlink" Target="https://www.youtube.com/watch?v=aX5_y3qSvoU" TargetMode="External"/><Relationship Id="rId233" Type="http://schemas.openxmlformats.org/officeDocument/2006/relationships/hyperlink" Target="https://www.youtube.com/watch?v=2LkUu85JLAc" TargetMode="External"/><Relationship Id="rId111" Type="http://schemas.openxmlformats.org/officeDocument/2006/relationships/hyperlink" Target="https://www.youtube.com/watch?v=BWqGIR2Ao1M" TargetMode="External"/><Relationship Id="rId232" Type="http://schemas.openxmlformats.org/officeDocument/2006/relationships/hyperlink" Target="https://www.youtube.com/watch?v=2LkUu85JLAc" TargetMode="External"/><Relationship Id="rId206" Type="http://schemas.openxmlformats.org/officeDocument/2006/relationships/hyperlink" Target="https://www.youtube.com/watch?v=Ugd7vTIwH74" TargetMode="External"/><Relationship Id="rId205" Type="http://schemas.openxmlformats.org/officeDocument/2006/relationships/hyperlink" Target="https://www.youtube.com/watch?v=A1dkZrpZgjY" TargetMode="External"/><Relationship Id="rId204" Type="http://schemas.openxmlformats.org/officeDocument/2006/relationships/hyperlink" Target="https://www.youtube.com/watch?v=Ugd7vTIwH74" TargetMode="External"/><Relationship Id="rId203" Type="http://schemas.openxmlformats.org/officeDocument/2006/relationships/hyperlink" Target="https://www.youtube.com/watch?v=RMFR9ZJZdrs" TargetMode="External"/><Relationship Id="rId209" Type="http://schemas.openxmlformats.org/officeDocument/2006/relationships/hyperlink" Target="https://www.youtube.com/watch?v=ya3amChrev0" TargetMode="External"/><Relationship Id="rId208" Type="http://schemas.openxmlformats.org/officeDocument/2006/relationships/hyperlink" Target="https://www.youtube.com/watch?v=YL6ya7FITz8" TargetMode="External"/><Relationship Id="rId207" Type="http://schemas.openxmlformats.org/officeDocument/2006/relationships/hyperlink" Target="https://www.youtube.com/watch?v=A1dkZrpZgjY" TargetMode="External"/><Relationship Id="rId202" Type="http://schemas.openxmlformats.org/officeDocument/2006/relationships/hyperlink" Target="https://www.youtube.com/watch?v=bkDgNkYmKWA" TargetMode="External"/><Relationship Id="rId201" Type="http://schemas.openxmlformats.org/officeDocument/2006/relationships/hyperlink" Target="https://www.youtube.com/watch?v=RMFR9ZJZdrs" TargetMode="External"/><Relationship Id="rId200" Type="http://schemas.openxmlformats.org/officeDocument/2006/relationships/hyperlink" Target="https://www.youtube.com/watch?v=bkDgNkYmKW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71"/>
    <col customWidth="1" min="2" max="2" width="49.57"/>
    <col customWidth="1" min="3" max="3" width="36.29"/>
    <col customWidth="1" min="4" max="4" width="38.0"/>
    <col customWidth="1" min="5" max="5" width="43.57"/>
    <col customWidth="1" min="6" max="6" width="39.86"/>
    <col customWidth="1" min="7" max="7" width="43.57"/>
    <col customWidth="1" min="8" max="8" width="12.0"/>
    <col customWidth="1" min="9" max="9" width="29.86"/>
    <col customWidth="1" min="10" max="10" width="45.57"/>
    <col customWidth="1" min="11" max="11" width="29.86"/>
    <col customWidth="1" min="12" max="12" width="9.29"/>
    <col customWidth="1" min="13" max="14" width="29.86"/>
  </cols>
  <sheetData>
    <row r="1" ht="28.5" customHeight="1">
      <c r="A1" s="1" t="s">
        <v>0</v>
      </c>
      <c r="B1" s="2" t="s">
        <v>1</v>
      </c>
      <c r="C1" s="2" t="s">
        <v>2</v>
      </c>
      <c r="D1" s="2" t="s">
        <v>3</v>
      </c>
      <c r="E1" s="2" t="s">
        <v>4</v>
      </c>
      <c r="F1" s="2" t="s">
        <v>5</v>
      </c>
      <c r="G1" s="2" t="s">
        <v>6</v>
      </c>
      <c r="H1" s="3" t="s">
        <v>7</v>
      </c>
      <c r="I1" s="2" t="s">
        <v>8</v>
      </c>
      <c r="J1" s="4" t="s">
        <v>9</v>
      </c>
      <c r="K1" s="4" t="s">
        <v>10</v>
      </c>
      <c r="L1" s="4" t="s">
        <v>11</v>
      </c>
      <c r="M1" s="4" t="s">
        <v>12</v>
      </c>
      <c r="N1" s="4" t="s">
        <v>13</v>
      </c>
    </row>
    <row r="2" ht="14.25" customHeight="1">
      <c r="A2" s="5" t="s">
        <v>14</v>
      </c>
      <c r="B2" s="5" t="s">
        <v>15</v>
      </c>
      <c r="C2" s="6" t="s">
        <v>16</v>
      </c>
      <c r="D2" s="5" t="s">
        <v>17</v>
      </c>
      <c r="E2" s="7" t="s">
        <v>18</v>
      </c>
      <c r="F2" s="8" t="s">
        <v>19</v>
      </c>
      <c r="G2" s="5" t="s">
        <v>20</v>
      </c>
      <c r="H2" s="9" t="str">
        <f t="shared" ref="H2:H171" si="2">IF(COUNTBLANK(E2:G2)=0,":)",COUNTBLANK(E2:G2))</f>
        <v>:)</v>
      </c>
      <c r="I2" s="10" t="b">
        <v>0</v>
      </c>
      <c r="J2" s="11" t="s">
        <v>21</v>
      </c>
      <c r="K2" s="11" t="s">
        <v>21</v>
      </c>
      <c r="L2" s="12" t="b">
        <v>0</v>
      </c>
      <c r="M2" s="12" t="str">
        <f t="shared" ref="M2:N2" si="1">SUBSTITUTE(SUBSTITUTE(E2,CHAR(13)&amp;CHAR(10),"¤¤¤"),CHAR(10),"¤¤¤")</f>
        <v>Kol od báleváv penimá¤¤¤nefes jehudi homijá.¤¤¤Ulfáté mizráḥ kádimá¤¤¤ájin lecion cofijá.¤¤¤¤¤¤Od lo ávdá tikvátenu,¤¤¤hátikvá bát snot álpájim,¤¤¤lihjot ám ḥofsi beárcenu,¤¤¤erec Cion virusálájim.</v>
      </c>
      <c r="N2" s="12"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customHeight="1">
      <c r="A3" s="5" t="s">
        <v>22</v>
      </c>
      <c r="B3" s="5" t="s">
        <v>23</v>
      </c>
      <c r="C3" s="6" t="s">
        <v>24</v>
      </c>
      <c r="D3" s="5" t="s">
        <v>25</v>
      </c>
      <c r="E3" s="7" t="s">
        <v>26</v>
      </c>
      <c r="F3" s="8" t="s">
        <v>27</v>
      </c>
      <c r="G3" s="5" t="s">
        <v>20</v>
      </c>
      <c r="H3" s="9" t="str">
        <f t="shared" si="2"/>
        <v>:)</v>
      </c>
      <c r="I3" s="10" t="b">
        <v>0</v>
      </c>
      <c r="J3" s="11" t="s">
        <v>28</v>
      </c>
      <c r="K3" s="11" t="s">
        <v>28</v>
      </c>
      <c r="L3" s="12" t="b">
        <v>0</v>
      </c>
      <c r="M3" s="12" t="str">
        <f t="shared" ref="M3:N3" si="3">SUBSTITUTE(SUBSTITUTE(E3,CHAR(13)&amp;CHAR(10),"¤¤¤"),CHAR(10),"¤¤¤")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N3" s="12"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customHeight="1">
      <c r="A4" s="5" t="s">
        <v>29</v>
      </c>
      <c r="B4" s="9" t="s">
        <v>30</v>
      </c>
      <c r="C4" s="6" t="s">
        <v>31</v>
      </c>
      <c r="D4" s="9" t="s">
        <v>32</v>
      </c>
      <c r="E4" s="13" t="s">
        <v>33</v>
      </c>
      <c r="F4" s="8" t="s">
        <v>34</v>
      </c>
      <c r="G4" s="5" t="s">
        <v>20</v>
      </c>
      <c r="H4" s="9" t="str">
        <f t="shared" si="2"/>
        <v>:)</v>
      </c>
      <c r="I4" s="10" t="b">
        <v>0</v>
      </c>
      <c r="J4" s="14" t="s">
        <v>35</v>
      </c>
      <c r="K4" s="14" t="s">
        <v>36</v>
      </c>
      <c r="L4" s="12" t="b">
        <v>0</v>
      </c>
      <c r="M4" s="12" t="str">
        <f t="shared" ref="M4:N4" si="4">SUBSTITUTE(SUBSTITUTE(E4,CHAR(13)&amp;CHAR(10),"¤¤¤"),CHAR(10),"¤¤¤")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N4" s="12"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customHeight="1">
      <c r="A5" s="5" t="s">
        <v>37</v>
      </c>
      <c r="B5" s="5" t="s">
        <v>38</v>
      </c>
      <c r="C5" s="6" t="s">
        <v>39</v>
      </c>
      <c r="D5" s="5" t="s">
        <v>40</v>
      </c>
      <c r="E5" s="7" t="s">
        <v>41</v>
      </c>
      <c r="F5" s="8" t="s">
        <v>42</v>
      </c>
      <c r="G5" s="5" t="s">
        <v>20</v>
      </c>
      <c r="H5" s="9" t="str">
        <f t="shared" si="2"/>
        <v>:)</v>
      </c>
      <c r="I5" s="10" t="b">
        <v>0</v>
      </c>
      <c r="J5" s="11" t="s">
        <v>43</v>
      </c>
      <c r="K5" s="14" t="s">
        <v>44</v>
      </c>
      <c r="L5" s="12" t="b">
        <v>0</v>
      </c>
      <c r="M5" s="12" t="str">
        <f t="shared" ref="M5:N5" si="5">SUBSTITUTE(SUBSTITUTE(E5,CHAR(13)&amp;CHAR(10),"¤¤¤"),CHAR(10),"¤¤¤")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N5" s="12"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customHeight="1">
      <c r="A6" s="5" t="s">
        <v>45</v>
      </c>
      <c r="B6" s="5" t="s">
        <v>46</v>
      </c>
      <c r="C6" s="6" t="s">
        <v>47</v>
      </c>
      <c r="D6" s="5" t="s">
        <v>48</v>
      </c>
      <c r="E6" s="7" t="s">
        <v>49</v>
      </c>
      <c r="F6" s="8" t="s">
        <v>50</v>
      </c>
      <c r="G6" s="5" t="s">
        <v>20</v>
      </c>
      <c r="H6" s="9" t="str">
        <f t="shared" si="2"/>
        <v>:)</v>
      </c>
      <c r="I6" s="10" t="b">
        <v>0</v>
      </c>
      <c r="J6" s="14" t="s">
        <v>51</v>
      </c>
      <c r="K6" s="14" t="s">
        <v>52</v>
      </c>
      <c r="L6" s="12" t="b">
        <v>0</v>
      </c>
      <c r="M6" s="12" t="str">
        <f t="shared" ref="M6:N6" si="6">SUBSTITUTE(SUBSTITUTE(E6,CHAR(13)&amp;CHAR(10),"¤¤¤"),CHAR(10),"¤¤¤")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N6" s="12"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customHeight="1">
      <c r="A7" s="5" t="s">
        <v>53</v>
      </c>
      <c r="B7" s="5" t="s">
        <v>54</v>
      </c>
      <c r="C7" s="6" t="s">
        <v>55</v>
      </c>
      <c r="D7" s="5" t="s">
        <v>56</v>
      </c>
      <c r="E7" s="7" t="s">
        <v>57</v>
      </c>
      <c r="F7" s="8" t="s">
        <v>58</v>
      </c>
      <c r="G7" s="5" t="s">
        <v>20</v>
      </c>
      <c r="H7" s="9" t="str">
        <f t="shared" si="2"/>
        <v>:)</v>
      </c>
      <c r="I7" s="10" t="b">
        <v>0</v>
      </c>
      <c r="J7" s="14" t="s">
        <v>59</v>
      </c>
      <c r="K7" s="14" t="s">
        <v>60</v>
      </c>
      <c r="L7" s="12" t="b">
        <v>0</v>
      </c>
      <c r="M7" s="12" t="str">
        <f t="shared" ref="M7:N7" si="7">SUBSTITUTE(SUBSTITUTE(E7,CHAR(13)&amp;CHAR(10),"¤¤¤"),CHAR(10),"¤¤¤")</f>
        <v>Hine má tov umá náim,¤¤¤sevet áḥim gám jáḥád.</v>
      </c>
      <c r="N7" s="12" t="str">
        <f t="shared" si="7"/>
        <v>Am           Em¤¤¤Hiné má tov umánájim, ¤¤¤C       D        Em¤¤¤sevet áhim gám jáhád. ¤¤¤Am          Em¤¤¤Hiná má tov umanájim, ¤¤¤C       D        Em¤¤¤sevet áhim gám jáhád. ¤¤¤¤¤¤Am      Em¤¤¤Hiné má tov ¤¤¤C       D        Em¤¤¤sevet áhim gám jáhád. ¤¤¤Am      Em¤¤¤Hiné má tov, ¤¤¤C       D        Em¤¤¤sevet áhim gam jáhád.</v>
      </c>
    </row>
    <row r="8" ht="14.25" customHeight="1">
      <c r="A8" s="5" t="s">
        <v>61</v>
      </c>
      <c r="B8" s="5" t="s">
        <v>62</v>
      </c>
      <c r="C8" s="6" t="s">
        <v>63</v>
      </c>
      <c r="D8" s="5" t="s">
        <v>64</v>
      </c>
      <c r="E8" s="7" t="s">
        <v>65</v>
      </c>
      <c r="F8" s="8" t="s">
        <v>66</v>
      </c>
      <c r="G8" s="5" t="s">
        <v>20</v>
      </c>
      <c r="H8" s="9" t="str">
        <f t="shared" si="2"/>
        <v>:)</v>
      </c>
      <c r="I8" s="10" t="b">
        <v>0</v>
      </c>
      <c r="J8" s="14" t="s">
        <v>67</v>
      </c>
      <c r="K8" s="14" t="s">
        <v>68</v>
      </c>
      <c r="L8" s="12" t="b">
        <v>0</v>
      </c>
      <c r="M8" s="12" t="str">
        <f t="shared" ref="M8:N8" si="8">SUBSTITUTE(SUBSTITUTE(E8,CHAR(13)&amp;CHAR(10),"¤¤¤"),CHAR(10),"¤¤¤")</f>
        <v>Kol háolám kulo geser cár meod,¤¤¤geser cár meod, geser cár meod.¤¤¤Veháikár, veháikár, lo lefáḥed, lo lefáḥed klál.¤¤¤Veháikár, veháikár, lo lefáḥed klál.</v>
      </c>
      <c r="N8" s="12" t="str">
        <f t="shared" si="8"/>
        <v>Am         Am    Dm        Am¤¤¤Kol háolám kuló, Geser cár méod,¤¤¤Am         G  G         Am¤¤¤Véhá ikar, lo lefáched, klál.¤¤¤¤¤¤Am        Am       Dm             Am¤¤¤Az egész világ Egy nagyon keskeny híd,¤¤¤Am           G              Am¤¤¤Az a lényeg, nem kell félni már.</v>
      </c>
    </row>
    <row r="9" ht="14.25" customHeight="1">
      <c r="A9" s="5" t="s">
        <v>69</v>
      </c>
      <c r="B9" s="9" t="s">
        <v>70</v>
      </c>
      <c r="C9" s="6" t="s">
        <v>71</v>
      </c>
      <c r="D9" s="5" t="s">
        <v>72</v>
      </c>
      <c r="E9" s="15" t="s">
        <v>73</v>
      </c>
      <c r="F9" s="8" t="s">
        <v>74</v>
      </c>
      <c r="G9" s="5" t="s">
        <v>20</v>
      </c>
      <c r="H9" s="9" t="str">
        <f t="shared" si="2"/>
        <v>:)</v>
      </c>
      <c r="I9" s="10" t="b">
        <v>0</v>
      </c>
      <c r="J9" s="11" t="s">
        <v>75</v>
      </c>
      <c r="K9" s="16" t="s">
        <v>76</v>
      </c>
      <c r="L9" s="12" t="b">
        <v>0</v>
      </c>
      <c r="M9" s="12" t="str">
        <f t="shared" ref="M9:N9" si="9">SUBSTITUTE(SUBSTITUTE(E9,CHAR(13)&amp;CHAR(10),"¤¤¤"),CHAR(10),"¤¤¤")</f>
        <v>Od avinu cháj, Ám Iszráél cháj.</v>
      </c>
      <c r="N9" s="12" t="str">
        <f t="shared" si="9"/>
        <v>Am                                 G¤¤¤Am Yisroel, Am Yisroel, Am Yisroel Chai,¤¤¤ ¤¤¤G                                  Am¤¤¤Am Yisroel, Am Yisroel, Am Yisroel Chai,¤¤¤ ¤¤¤Am   Em   Am   Am   Em   Am¤¤¤Od Avinu Chai, Od Avinu Chai, ¤¤¤ ¤¤¤Am                  G        Am¤¤¤Od Avinu, Od Avinu, Od Avinu Chai</v>
      </c>
    </row>
    <row r="10" ht="14.25" customHeight="1">
      <c r="A10" s="5" t="s">
        <v>77</v>
      </c>
      <c r="B10" s="5" t="s">
        <v>78</v>
      </c>
      <c r="C10" s="6" t="s">
        <v>79</v>
      </c>
      <c r="D10" s="9" t="s">
        <v>80</v>
      </c>
      <c r="E10" s="13" t="s">
        <v>81</v>
      </c>
      <c r="F10" s="8" t="s">
        <v>82</v>
      </c>
      <c r="G10" s="5" t="s">
        <v>20</v>
      </c>
      <c r="H10" s="9" t="str">
        <f t="shared" si="2"/>
        <v>:)</v>
      </c>
      <c r="I10" s="10" t="b">
        <v>0</v>
      </c>
      <c r="J10" s="14" t="s">
        <v>83</v>
      </c>
      <c r="K10" s="14" t="s">
        <v>84</v>
      </c>
      <c r="L10" s="12" t="b">
        <v>0</v>
      </c>
      <c r="M10" s="12" t="str">
        <f t="shared" ref="M10:N10" si="10">SUBSTITUTE(SUBSTITUTE(E10,CHAR(13)&amp;CHAR(10),"¤¤¤"),CHAR(10),"¤¤¤")</f>
        <v>Od jávo sálom áléjnu¤¤¤Od jávo sálom áléjnu¤¤¤Od jávo sálom áléjnu veál kulám.¤¤¤Szálám álénu veál kol háolám, ¤¤¤Szálám, szálám.</v>
      </c>
      <c r="N10" s="12" t="str">
        <f t="shared" si="10"/>
        <v>D¤¤¤Od yavo shalom aleinu¤¤¤G¤¤¤Od yavo shalom aleinu¤¤¤D¤¤¤Od yavo shalom aleinu¤¤¤G  D   A  D¤¤¤Ve'al Kulam¤¤¤ ¤¤¤D       G                   D¤¤¤Salam, aleinu ve'al kol ha'olam¤¤¤  A       G D¤¤¤Salam, Shalom¤¤¤ ¤¤¤D       G                   D¤¤¤Salam, aleinu ve'al kol ha'olam¤¤¤  A7      Dsus4 D¤¤¤Salam, Shal-----om</v>
      </c>
    </row>
    <row r="11" ht="14.25" customHeight="1">
      <c r="A11" s="5" t="s">
        <v>85</v>
      </c>
      <c r="B11" s="5" t="s">
        <v>86</v>
      </c>
      <c r="C11" s="6" t="s">
        <v>87</v>
      </c>
      <c r="D11" s="5"/>
      <c r="E11" s="7" t="s">
        <v>88</v>
      </c>
      <c r="F11" s="8" t="s">
        <v>89</v>
      </c>
      <c r="G11" s="5" t="s">
        <v>20</v>
      </c>
      <c r="H11" s="9" t="str">
        <f t="shared" si="2"/>
        <v>:)</v>
      </c>
      <c r="I11" s="10" t="b">
        <v>0</v>
      </c>
      <c r="J11" s="14" t="s">
        <v>90</v>
      </c>
      <c r="K11" s="16" t="s">
        <v>76</v>
      </c>
      <c r="L11" s="12" t="b">
        <v>0</v>
      </c>
      <c r="M11" s="12" t="str">
        <f t="shared" ref="M11:N11" si="11">SUBSTITUTE(SUBSTITUTE(E11,CHAR(13)&amp;CHAR(10),"¤¤¤"),CHAR(10),"¤¤¤")</f>
        <v>Hájom jom huledet, hájom jom huledet,¤¤¤hájom jom huledet le kulam!¤¤¤¤¤¤Hág lo számeáḥ, vezer lo poreáḥ, ¤¤¤hájom jom huledet le kulam!</v>
      </c>
      <c r="N11" s="12" t="str">
        <f t="shared" si="11"/>
        <v>C                  Dm ¤¤¤Hájom jom huledet, hájom jom huledet,¤¤¤Em                F     C¤¤¤hájom jom huledet le kulam!¤¤¤¤¤¤¤¤¤Am                G¤¤¤Hág lo számeáḥ, vezer lo poreáḥ, ¤¤¤F                 Am    C¤¤¤hájom jom huledet le kulam!</v>
      </c>
    </row>
    <row r="12" ht="14.25" customHeight="1">
      <c r="A12" s="5" t="s">
        <v>91</v>
      </c>
      <c r="B12" s="5" t="s">
        <v>92</v>
      </c>
      <c r="C12" s="6" t="s">
        <v>93</v>
      </c>
      <c r="D12" s="5" t="s">
        <v>94</v>
      </c>
      <c r="E12" s="7" t="s">
        <v>95</v>
      </c>
      <c r="F12" s="8" t="s">
        <v>96</v>
      </c>
      <c r="G12" s="5" t="s">
        <v>20</v>
      </c>
      <c r="H12" s="9" t="str">
        <f t="shared" si="2"/>
        <v>:)</v>
      </c>
      <c r="I12" s="10" t="b">
        <v>0</v>
      </c>
      <c r="J12" s="14" t="s">
        <v>97</v>
      </c>
      <c r="K12" s="14" t="s">
        <v>98</v>
      </c>
      <c r="L12" s="12" t="b">
        <v>0</v>
      </c>
      <c r="M12" s="12" t="str">
        <f t="shared" ref="M12:N12" si="12">SUBSTITUTE(SUBSTITUTE(E12,CHAR(13)&amp;CHAR(10),"¤¤¤"),CHAR(10),"¤¤¤")</f>
        <v>Hevenu sálom áleḥem, ¤¤¤hevenu sálom álehem, ¤¤¤hevenu sálom álehem, ¤¤¤hevenu sálom, sálom, sálom áleḥem.</v>
      </c>
      <c r="N12" s="12" t="str">
        <f t="shared" si="12"/>
        <v>Cm¤¤¤Hevenu sálom áleḥem, ¤¤¤       Fm¤¤¤hevenu sálom álehem, ¤¤¤       G      Cm¤¤¤hevenu sálom álehem, ¤¤¤       G             Fm       Cm¤¤¤hevenu sálom, sálom, sálom áleḥem.</v>
      </c>
    </row>
    <row r="13" ht="14.25" customHeight="1">
      <c r="A13" s="5" t="s">
        <v>99</v>
      </c>
      <c r="B13" s="5" t="s">
        <v>100</v>
      </c>
      <c r="C13" s="6" t="s">
        <v>101</v>
      </c>
      <c r="D13" s="5" t="s">
        <v>102</v>
      </c>
      <c r="E13" s="7" t="s">
        <v>103</v>
      </c>
      <c r="F13" s="8" t="s">
        <v>104</v>
      </c>
      <c r="G13" s="5" t="s">
        <v>20</v>
      </c>
      <c r="H13" s="9" t="str">
        <f t="shared" si="2"/>
        <v>:)</v>
      </c>
      <c r="I13" s="10" t="b">
        <v>0</v>
      </c>
      <c r="J13" s="14" t="s">
        <v>105</v>
      </c>
      <c r="K13" s="16" t="s">
        <v>76</v>
      </c>
      <c r="L13" s="12" t="b">
        <v>0</v>
      </c>
      <c r="M13" s="12" t="str">
        <f t="shared" ref="M13:N13" si="13">SUBSTITUTE(SUBSTITUTE(E13,CHAR(13)&amp;CHAR(10),"¤¤¤"),CHAR(10),"¤¤¤")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N13" s="12"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customHeight="1">
      <c r="A14" s="5" t="s">
        <v>106</v>
      </c>
      <c r="B14" s="5" t="s">
        <v>107</v>
      </c>
      <c r="C14" s="6" t="s">
        <v>108</v>
      </c>
      <c r="D14" s="5" t="s">
        <v>94</v>
      </c>
      <c r="E14" s="7" t="s">
        <v>109</v>
      </c>
      <c r="F14" s="17" t="s">
        <v>110</v>
      </c>
      <c r="G14" s="5" t="s">
        <v>20</v>
      </c>
      <c r="H14" s="9" t="str">
        <f t="shared" si="2"/>
        <v>:)</v>
      </c>
      <c r="I14" s="10" t="b">
        <v>0</v>
      </c>
      <c r="J14" s="14" t="s">
        <v>111</v>
      </c>
      <c r="K14" s="14" t="s">
        <v>112</v>
      </c>
      <c r="L14" s="12" t="b">
        <v>0</v>
      </c>
      <c r="M14" s="12" t="str">
        <f t="shared" ref="M14:N14" si="14">SUBSTITUTE(SUBSTITUTE(E14,CHAR(13)&amp;CHAR(10),"¤¤¤"),CHAR(10),"¤¤¤")</f>
        <v>Dávid meleḥ Jiszráel,¤¤¤ḥáj, ḥáj vekájám.</v>
      </c>
      <c r="N14" s="12" t="str">
        <f t="shared" si="14"/>
        <v>C¤¤¤Dávid meleḥ Jiszráel,¤¤¤C¤¤¤ḥáj, ḥáj vekájám.¤¤¤¤¤¤F¤¤¤Dávid meleḥ Jiszráel,¤¤¤C¤¤¤ḥáj, ḥáj vekájám.</v>
      </c>
    </row>
    <row r="15" ht="14.25" customHeight="1">
      <c r="A15" s="5" t="s">
        <v>113</v>
      </c>
      <c r="B15" s="5" t="s">
        <v>114</v>
      </c>
      <c r="C15" s="6" t="s">
        <v>115</v>
      </c>
      <c r="D15" s="5" t="s">
        <v>116</v>
      </c>
      <c r="E15" s="7" t="s">
        <v>117</v>
      </c>
      <c r="F15" s="8"/>
      <c r="G15" s="5" t="s">
        <v>20</v>
      </c>
      <c r="H15" s="9">
        <f t="shared" si="2"/>
        <v>1</v>
      </c>
      <c r="I15" s="10" t="b">
        <v>0</v>
      </c>
      <c r="J15" s="18" t="s">
        <v>118</v>
      </c>
      <c r="K15" s="19"/>
      <c r="L15" s="19" t="b">
        <v>0</v>
      </c>
      <c r="M15" s="12" t="str">
        <f t="shared" ref="M15:N15" si="15">SUBSTITUTE(SUBSTITUTE(E15,CHAR(13)&amp;CHAR(10),"¤¤¤"),CHAR(10),"¤¤¤")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N15" s="12" t="str">
        <f t="shared" si="15"/>
        <v/>
      </c>
    </row>
    <row r="16" ht="14.25" customHeight="1">
      <c r="A16" s="5" t="s">
        <v>119</v>
      </c>
      <c r="B16" s="5" t="s">
        <v>120</v>
      </c>
      <c r="C16" s="20" t="s">
        <v>121</v>
      </c>
      <c r="D16" s="9" t="s">
        <v>122</v>
      </c>
      <c r="E16" s="7" t="s">
        <v>123</v>
      </c>
      <c r="F16" s="8" t="s">
        <v>124</v>
      </c>
      <c r="G16" s="5" t="s">
        <v>125</v>
      </c>
      <c r="H16" s="9" t="str">
        <f t="shared" si="2"/>
        <v>:)</v>
      </c>
      <c r="I16" s="10" t="b">
        <v>0</v>
      </c>
      <c r="J16" s="14" t="s">
        <v>126</v>
      </c>
      <c r="K16" s="14" t="s">
        <v>127</v>
      </c>
      <c r="L16" s="12" t="b">
        <v>0</v>
      </c>
      <c r="M16" s="12" t="str">
        <f t="shared" ref="M16:N16" si="16">SUBSTITUTE(SUBSTITUTE(E16,CHAR(13)&amp;CHAR(10),"¤¤¤"),CHAR(10),"¤¤¤")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v>
      </c>
      <c r="N16" s="12"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v>
      </c>
    </row>
    <row r="17" ht="14.25" customHeight="1">
      <c r="A17" s="5" t="s">
        <v>119</v>
      </c>
      <c r="B17" s="5" t="s">
        <v>120</v>
      </c>
      <c r="C17" s="20" t="s">
        <v>128</v>
      </c>
      <c r="D17" s="9" t="s">
        <v>122</v>
      </c>
      <c r="E17" s="7" t="s">
        <v>129</v>
      </c>
      <c r="F17" s="8" t="s">
        <v>130</v>
      </c>
      <c r="G17" s="5" t="s">
        <v>125</v>
      </c>
      <c r="H17" s="9" t="str">
        <f t="shared" si="2"/>
        <v>:)</v>
      </c>
      <c r="I17" s="10" t="b">
        <v>0</v>
      </c>
      <c r="J17" s="14" t="s">
        <v>126</v>
      </c>
      <c r="K17" s="14" t="s">
        <v>127</v>
      </c>
      <c r="L17" s="16" t="b">
        <v>1</v>
      </c>
      <c r="M17" s="12" t="str">
        <f t="shared" ref="M17:N17" si="17">SUBSTITUTE(SUBSTITUTE(E17,CHAR(13)&amp;CHAR(10),"¤¤¤"),CHAR(10),"¤¤¤")</f>
        <v>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N17" s="12" t="str">
        <f t="shared" si="17"/>
        <v>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8" ht="14.25" customHeight="1">
      <c r="A18" s="5" t="s">
        <v>131</v>
      </c>
      <c r="B18" s="5" t="s">
        <v>132</v>
      </c>
      <c r="C18" s="5"/>
      <c r="D18" s="9" t="s">
        <v>122</v>
      </c>
      <c r="E18" s="7" t="s">
        <v>133</v>
      </c>
      <c r="F18" s="8" t="s">
        <v>134</v>
      </c>
      <c r="G18" s="5" t="s">
        <v>125</v>
      </c>
      <c r="H18" s="9" t="str">
        <f t="shared" si="2"/>
        <v>:)</v>
      </c>
      <c r="I18" s="10" t="b">
        <v>0</v>
      </c>
      <c r="J18" s="14" t="s">
        <v>135</v>
      </c>
      <c r="K18" s="14" t="s">
        <v>135</v>
      </c>
      <c r="L18" s="12" t="b">
        <v>0</v>
      </c>
      <c r="M18" s="12" t="str">
        <f t="shared" ref="M18:N18" si="18">SUBSTITUTE(SUBSTITUTE(E18,CHAR(13)&amp;CHAR(10),"¤¤¤"),CHAR(10),"¤¤¤")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N18" s="12" t="str">
        <f t="shared" si="18"/>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19" ht="14.25" customHeight="1">
      <c r="A19" s="5" t="s">
        <v>136</v>
      </c>
      <c r="B19" s="9" t="s">
        <v>137</v>
      </c>
      <c r="C19" s="9"/>
      <c r="D19" s="9" t="s">
        <v>122</v>
      </c>
      <c r="E19" s="13" t="s">
        <v>138</v>
      </c>
      <c r="F19" s="8" t="s">
        <v>139</v>
      </c>
      <c r="G19" s="5" t="s">
        <v>125</v>
      </c>
      <c r="H19" s="9" t="str">
        <f t="shared" si="2"/>
        <v>:)</v>
      </c>
      <c r="I19" s="10" t="b">
        <v>0</v>
      </c>
      <c r="J19" s="14" t="s">
        <v>140</v>
      </c>
      <c r="K19" s="14" t="s">
        <v>141</v>
      </c>
      <c r="L19" s="12" t="b">
        <v>0</v>
      </c>
      <c r="M19" s="12" t="str">
        <f t="shared" ref="M19:N19" si="19">SUBSTITUTE(SUBSTITUTE(E19,CHAR(13)&amp;CHAR(10),"¤¤¤"),CHAR(10),"¤¤¤")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N19" s="12" t="str">
        <f t="shared" si="19"/>
        <v>F       Em7          A7              Dm     Dm/C¤¤¤Yesterday,  all my troubles seemed so far away¤¤¤Bb       C7                    F            F/E Dm   G7       Bb F F¤¤¤Now it looks as though they're here to stay, oh I believe in yesterday¤¤¤ ¤¤¤ ¤¤¤ ¤¤¤ ¤¤¤F        Em7      A7             Dm         Dm/C¤¤¤Suddenly, I'm not half the man I used to be¤¤¤Bb         C7             F        F/E Dm   G7       Bb F F¤¤¤There's a shadow hanging over me, oh yesterday came suddenly¤¤¤ ¤¤¤ ¤¤¤ ¤¤¤Em7 A7   Dm  Dm/C Bb         Gm         C        F¤¤¤Why she  had to   go I don't know, she wouldn't say¤¤¤Em7 A7   Dm  Dm/C  Bb           Gm        C     F¤¤¤I   said something wrong, now I long for yesterday¤¤¤¤¤¤¤¤¤¤¤¤F       Em7         A7           Dm          Dm/C¤¤¤Yesterday, love was such an easy game to play¤¤¤Bb      C7             F          F/E Dm   G7      Bb F F¤¤¤Now I need a place to hide away, oh I believe in yesterday¤¤¤ ¤¤¤ ¤¤¤ ¤¤¤Em7 A7   Dm  Dm/C Bb           Gm        C       F¤¤¤ Why she  had to   go I don't know, she wouldn't say¤¤¤Em7 A7   Dm  Dm/C  Bb           Gm        C     F¤¤¤I   said something wrong, now I long for yesterday¤¤¤ ¤¤¤ ¤¤¤ ¤¤¤ ¤¤¤F        Em7        A7           Dm           Dm/C¤¤¤Yesterday, love was such an easy game to play¤¤¤Bb      C7             F          F/E Dm   G7      Bb F F¤¤¤Now I need a place to hide away, oh I believe in yesterday¤¤¤</v>
      </c>
    </row>
    <row r="20" ht="14.25" customHeight="1">
      <c r="A20" s="5" t="s">
        <v>142</v>
      </c>
      <c r="B20" s="5" t="s">
        <v>143</v>
      </c>
      <c r="C20" s="5" t="s">
        <v>121</v>
      </c>
      <c r="D20" s="9" t="s">
        <v>144</v>
      </c>
      <c r="E20" s="7" t="s">
        <v>145</v>
      </c>
      <c r="F20" s="8" t="s">
        <v>146</v>
      </c>
      <c r="G20" s="5" t="s">
        <v>125</v>
      </c>
      <c r="H20" s="9" t="str">
        <f t="shared" si="2"/>
        <v>:)</v>
      </c>
      <c r="I20" s="10" t="b">
        <v>0</v>
      </c>
      <c r="J20" s="14" t="s">
        <v>147</v>
      </c>
      <c r="K20" s="14" t="s">
        <v>148</v>
      </c>
      <c r="L20" s="12" t="b">
        <v>0</v>
      </c>
      <c r="M20" s="12" t="str">
        <f t="shared" ref="M20:N20" si="20">SUBSTITUTE(SUBSTITUTE(E20,CHAR(13)&amp;CHAR(10),"¤¤¤"),CHAR(10),"¤¤¤")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N20" s="12" t="str">
        <f t="shared" si="20"/>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1" ht="14.25" customHeight="1">
      <c r="A21" s="5" t="s">
        <v>142</v>
      </c>
      <c r="B21" s="5" t="s">
        <v>143</v>
      </c>
      <c r="C21" s="20" t="s">
        <v>128</v>
      </c>
      <c r="D21" s="9" t="s">
        <v>144</v>
      </c>
      <c r="E21" s="7" t="s">
        <v>149</v>
      </c>
      <c r="F21" s="8" t="s">
        <v>150</v>
      </c>
      <c r="G21" s="5" t="s">
        <v>125</v>
      </c>
      <c r="H21" s="9" t="str">
        <f t="shared" si="2"/>
        <v>:)</v>
      </c>
      <c r="I21" s="10" t="b">
        <v>0</v>
      </c>
      <c r="J21" s="14" t="s">
        <v>147</v>
      </c>
      <c r="K21" s="14" t="s">
        <v>148</v>
      </c>
      <c r="L21" s="16" t="b">
        <v>1</v>
      </c>
      <c r="M21" s="12" t="str">
        <f t="shared" ref="M21:N21" si="21">SUBSTITUTE(SUBSTITUTE(E21,CHAR(13)&amp;CHAR(10),"¤¤¤"),CHAR(10),"¤¤¤")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N21" s="12" t="str">
        <f t="shared" si="21"/>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2" ht="14.25" customHeight="1">
      <c r="A22" s="5" t="s">
        <v>151</v>
      </c>
      <c r="B22" s="9" t="s">
        <v>152</v>
      </c>
      <c r="C22" s="9"/>
      <c r="D22" s="9" t="s">
        <v>153</v>
      </c>
      <c r="E22" s="7" t="s">
        <v>154</v>
      </c>
      <c r="F22" s="8" t="s">
        <v>155</v>
      </c>
      <c r="G22" s="5" t="s">
        <v>125</v>
      </c>
      <c r="H22" s="9" t="str">
        <f t="shared" si="2"/>
        <v>:)</v>
      </c>
      <c r="I22" s="21" t="b">
        <v>1</v>
      </c>
      <c r="J22" s="14" t="s">
        <v>156</v>
      </c>
      <c r="K22" s="14" t="s">
        <v>157</v>
      </c>
      <c r="L22" s="22" t="b">
        <v>0</v>
      </c>
      <c r="M22" s="12" t="str">
        <f t="shared" ref="M22:N22" si="22">SUBSTITUTE(SUBSTITUTE(E22,CHAR(13)&amp;CHAR(10),"¤¤¤"),CHAR(10),"¤¤¤")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N22" s="12" t="str">
        <f t="shared" si="22"/>
        <v>G              D          Am7  ¤¤¤Mama take this badge from me¤¤¤G       D            C¤¤¤I can't use it anymore¤¤¤G            D                Am7¤¤¤It's getting dark too dark to see¤¤¤G              D                    C¤¤¤Feels like I'm knockin' on heaven's door¤¤¤¤¤¤¤¤¤G           D                    C¤¤¤Knock-knock-knockin' on heaven's door¤¤¤Knock-knock-knockin' on heaven's door¤¤¤Knock-knock-knockin' on heaven's door¤¤¤Knock-knock-knockin' on heaven's door, eh yeah¤¤¤¤¤¤G D C X4¤¤¤¤¤¤Mama put my guns in the ground¤¤¤I can't shoot them anymore¤¤¤That cold black cloud is comin' down¤¤¤Feels like I'm knockin' on heaven's door¤¤¤¤¤¤Knock-knock-knockin' on heaven's door¤¤¤Knock-knock-knockin' on heaven's door¤¤¤Knock-knock-knockin' on heaven's door¤¤¤Knock-knock-knockin' on heaven's door, wow oh yeah¤¤¤¤¤¤G D C</v>
      </c>
    </row>
    <row r="23" ht="14.25" customHeight="1">
      <c r="A23" s="5" t="s">
        <v>158</v>
      </c>
      <c r="B23" s="5" t="s">
        <v>159</v>
      </c>
      <c r="C23" s="5"/>
      <c r="D23" s="9" t="s">
        <v>160</v>
      </c>
      <c r="E23" s="13" t="s">
        <v>161</v>
      </c>
      <c r="F23" s="8" t="s">
        <v>162</v>
      </c>
      <c r="G23" s="5" t="s">
        <v>125</v>
      </c>
      <c r="H23" s="9" t="str">
        <f t="shared" si="2"/>
        <v>:)</v>
      </c>
      <c r="I23" s="21" t="b">
        <v>1</v>
      </c>
      <c r="J23" s="14" t="s">
        <v>163</v>
      </c>
      <c r="K23" s="14" t="s">
        <v>164</v>
      </c>
      <c r="L23" s="22" t="b">
        <v>0</v>
      </c>
      <c r="M23" s="12" t="str">
        <f t="shared" ref="M23:N23" si="23">SUBSTITUTE(SUBSTITUTE(E23,CHAR(13)&amp;CHAR(10),"¤¤¤"),CHAR(10),"¤¤¤")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N23" s="12" t="str">
        <f t="shared" si="23"/>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4" ht="14.25" customHeight="1">
      <c r="A24" s="5" t="s">
        <v>165</v>
      </c>
      <c r="B24" s="5" t="s">
        <v>166</v>
      </c>
      <c r="C24" s="5"/>
      <c r="D24" s="5" t="s">
        <v>167</v>
      </c>
      <c r="E24" s="7" t="s">
        <v>168</v>
      </c>
      <c r="F24" s="8" t="s">
        <v>169</v>
      </c>
      <c r="G24" s="5" t="s">
        <v>125</v>
      </c>
      <c r="H24" s="9" t="str">
        <f t="shared" si="2"/>
        <v>:)</v>
      </c>
      <c r="I24" s="10" t="b">
        <v>0</v>
      </c>
      <c r="J24" s="14" t="s">
        <v>170</v>
      </c>
      <c r="K24" s="14" t="s">
        <v>171</v>
      </c>
      <c r="L24" s="12" t="b">
        <v>0</v>
      </c>
      <c r="M24" s="12" t="str">
        <f t="shared" ref="M24:N24" si="24">SUBSTITUTE(SUBSTITUTE(E24,CHAR(13)&amp;CHAR(10),"¤¤¤"),CHAR(10),"¤¤¤")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N24" s="12" t="str">
        <f t="shared" si="24"/>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5" ht="14.25" customHeight="1">
      <c r="A25" s="5" t="s">
        <v>172</v>
      </c>
      <c r="B25" s="9" t="s">
        <v>173</v>
      </c>
      <c r="C25" s="9"/>
      <c r="D25" s="9" t="s">
        <v>174</v>
      </c>
      <c r="E25" s="13" t="s">
        <v>175</v>
      </c>
      <c r="F25" s="8" t="s">
        <v>176</v>
      </c>
      <c r="G25" s="5" t="s">
        <v>125</v>
      </c>
      <c r="H25" s="9" t="str">
        <f t="shared" si="2"/>
        <v>:)</v>
      </c>
      <c r="I25" s="21" t="b">
        <v>1</v>
      </c>
      <c r="J25" s="14" t="s">
        <v>177</v>
      </c>
      <c r="K25" s="14" t="s">
        <v>178</v>
      </c>
      <c r="L25" s="22" t="b">
        <v>0</v>
      </c>
      <c r="M25" s="12" t="str">
        <f t="shared" ref="M25:N25" si="25">SUBSTITUTE(SUBSTITUTE(E25,CHAR(13)&amp;CHAR(10),"¤¤¤"),CHAR(10),"¤¤¤")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N25" s="12" t="str">
        <f t="shared" si="25"/>
        <v>Am¤¤¤Una mattina mi son svegliato,¤¤¤ ¤¤¤O bella, ciao! Bella, ciao!¤¤¤        Am7¤¤¤Bella, ciao, ciao, ciao!¤¤¤       Dm               Am¤¤¤Una mattina mi son svegliato¤¤¤        E7          Am¤¤¤e ho trovato l'invasor.¤¤¤ ¤¤¤Am¤¤¤O partigiano, portami via,¤¤¤ ¤¤¤O bella, ciao! Bella, ciao!¤¤¤        Am7¤¤¤Bella, ciao, ciao, ciao!¤¤¤         Dm           Am¤¤¤O partigiano, portami via,¤¤¤        E7         Am¤¤¤ché mi sento di morir.¤¤¤ ¤¤¤Am¤¤¤E se io muoio da partigiano,¤¤¤ ¤¤¤O bella, ciao! Bella, ciao!¤¤¤        Am7¤¤¤Bella, ciao, ciao, ciao!¤¤¤         Dm            Am¤¤¤E se io muoio da partigiano,¤¤¤      E7          Am¤¤¤tu mi devi seppellir.¤¤¤ ¤¤¤Am¤¤¤Seppellire lassù in montagna,¤¤¤ ¤¤¤O bella, ciao! Bella, ciao!¤¤¤        Am7¤¤¤Bella, ciao, ciao, ciao!¤¤¤        Dm               Am¤¤¤E seppellire lassù in montagna¤¤¤        E7                Am¤¤¤Sotto l'ombra di un bel fior.¤¤¤ ¤¤¤Am¤¤¤E le genti che passeranno¤¤¤ ¤¤¤O bella, ciao! Bella, ciao!¤¤¤        Am7¤¤¤Bella, ciao, ciao, ciao!¤¤¤      Dm            Am¤¤¤E le genti che passeranno¤¤¤      E7              Am¤¤¤Ti diranno «Che bel fior!»¤¤¤ ¤¤¤Am¤¤¤«È questo il fiore del partigiano»,¤¤¤ ¤¤¤O bella, ciao! Bella, ciao!¤¤¤        Am7¤¤¤Bella, ciao, ciao, ciao!¤¤¤             Dm              Am¤¤¤«È questo il fiore del partigiano¤¤¤      E7          Am¤¤¤morto per la libertà!»</v>
      </c>
    </row>
    <row r="26" ht="15.75" customHeight="1">
      <c r="A26" s="5" t="s">
        <v>179</v>
      </c>
      <c r="B26" s="5" t="s">
        <v>180</v>
      </c>
      <c r="C26" s="5"/>
      <c r="D26" s="5" t="s">
        <v>181</v>
      </c>
      <c r="E26" s="13" t="s">
        <v>182</v>
      </c>
      <c r="F26" s="8" t="s">
        <v>183</v>
      </c>
      <c r="G26" s="5" t="s">
        <v>125</v>
      </c>
      <c r="H26" s="9" t="str">
        <f t="shared" si="2"/>
        <v>:)</v>
      </c>
      <c r="I26" s="21" t="b">
        <v>1</v>
      </c>
      <c r="J26" s="14" t="s">
        <v>184</v>
      </c>
      <c r="K26" s="14" t="s">
        <v>184</v>
      </c>
      <c r="L26" s="22" t="b">
        <v>0</v>
      </c>
      <c r="M26" s="12" t="str">
        <f t="shared" ref="M26:N26" si="26">SUBSTITUTE(SUBSTITUTE(E26,CHAR(13)&amp;CHAR(10),"¤¤¤"),CHAR(10),"¤¤¤")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N26" s="12" t="str">
        <f t="shared" si="26"/>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7" ht="15.75" customHeight="1">
      <c r="A27" s="5" t="s">
        <v>185</v>
      </c>
      <c r="B27" s="9" t="s">
        <v>186</v>
      </c>
      <c r="C27" s="9"/>
      <c r="D27" s="9" t="s">
        <v>187</v>
      </c>
      <c r="E27" s="13" t="s">
        <v>188</v>
      </c>
      <c r="F27" s="8" t="s">
        <v>189</v>
      </c>
      <c r="G27" s="5" t="s">
        <v>125</v>
      </c>
      <c r="H27" s="9" t="str">
        <f t="shared" si="2"/>
        <v>:)</v>
      </c>
      <c r="I27" s="10" t="b">
        <v>0</v>
      </c>
      <c r="J27" s="14" t="s">
        <v>190</v>
      </c>
      <c r="K27" s="14" t="s">
        <v>191</v>
      </c>
      <c r="L27" s="12" t="b">
        <v>0</v>
      </c>
      <c r="M27" s="12" t="str">
        <f t="shared" ref="M27:N27" si="27">SUBSTITUTE(SUBSTITUTE(E27,CHAR(13)&amp;CHAR(10),"¤¤¤"),CHAR(10),"¤¤¤")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N27" s="12" t="str">
        <f t="shared" si="27"/>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8" ht="15.0" customHeight="1">
      <c r="A28" s="5" t="s">
        <v>192</v>
      </c>
      <c r="B28" s="9" t="s">
        <v>193</v>
      </c>
      <c r="C28" s="9"/>
      <c r="D28" s="9" t="s">
        <v>194</v>
      </c>
      <c r="E28" s="7" t="s">
        <v>195</v>
      </c>
      <c r="F28" s="8" t="s">
        <v>196</v>
      </c>
      <c r="G28" s="5" t="s">
        <v>125</v>
      </c>
      <c r="H28" s="9" t="str">
        <f t="shared" si="2"/>
        <v>:)</v>
      </c>
      <c r="I28" s="21" t="b">
        <v>1</v>
      </c>
      <c r="J28" s="14" t="s">
        <v>197</v>
      </c>
      <c r="K28" s="14" t="s">
        <v>197</v>
      </c>
      <c r="L28" s="22" t="b">
        <v>0</v>
      </c>
      <c r="M28" s="12" t="str">
        <f t="shared" ref="M28:N28" si="28">SUBSTITUTE(SUBSTITUTE(E28,CHAR(13)&amp;CHAR(10),"¤¤¤"),CHAR(10),"¤¤¤")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N28" s="12" t="str">
        <f t="shared" si="28"/>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29" ht="15.75" customHeight="1">
      <c r="A29" s="5" t="s">
        <v>198</v>
      </c>
      <c r="B29" s="5" t="s">
        <v>199</v>
      </c>
      <c r="C29" s="9"/>
      <c r="D29" s="9" t="s">
        <v>200</v>
      </c>
      <c r="E29" s="7" t="s">
        <v>201</v>
      </c>
      <c r="F29" s="8" t="s">
        <v>202</v>
      </c>
      <c r="G29" s="5" t="s">
        <v>125</v>
      </c>
      <c r="H29" s="9" t="str">
        <f t="shared" si="2"/>
        <v>:)</v>
      </c>
      <c r="I29" s="10" t="b">
        <v>0</v>
      </c>
      <c r="J29" s="14" t="s">
        <v>203</v>
      </c>
      <c r="K29" s="14" t="s">
        <v>204</v>
      </c>
      <c r="L29" s="12" t="b">
        <v>0</v>
      </c>
      <c r="M29" s="12" t="str">
        <f t="shared" ref="M29:N29" si="29">SUBSTITUTE(SUBSTITUTE(E29,CHAR(13)&amp;CHAR(10),"¤¤¤"),CHAR(10),"¤¤¤")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N29" s="12" t="str">
        <f t="shared" si="29"/>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30" ht="15.75" customHeight="1">
      <c r="A30" s="5" t="s">
        <v>205</v>
      </c>
      <c r="B30" s="9" t="s">
        <v>206</v>
      </c>
      <c r="C30" s="9"/>
      <c r="D30" s="9" t="s">
        <v>94</v>
      </c>
      <c r="E30" s="7" t="s">
        <v>207</v>
      </c>
      <c r="F30" s="8" t="s">
        <v>208</v>
      </c>
      <c r="G30" s="5" t="s">
        <v>209</v>
      </c>
      <c r="H30" s="9" t="str">
        <f t="shared" si="2"/>
        <v>:)</v>
      </c>
      <c r="I30" s="10" t="b">
        <v>0</v>
      </c>
      <c r="J30" s="14" t="s">
        <v>210</v>
      </c>
      <c r="K30" s="14" t="s">
        <v>210</v>
      </c>
      <c r="L30" s="12" t="b">
        <v>0</v>
      </c>
      <c r="M30" s="12" t="str">
        <f t="shared" ref="M30:N30" si="30">SUBSTITUTE(SUBSTITUTE(E30,CHAR(13)&amp;CHAR(10),"¤¤¤"),CHAR(10),"¤¤¤")</f>
        <v>A bolhási kertek alatt Kata,¤¤¤De sok gyalog utak vannak Kata,¤¤¤Minden legény egyet csinál,¤¤¤Aki a rózsájához jár Kata.¤¤¤¤¤¤Árok partján rakjál tüzet Kata,¤¤¤Forralj nála édes tejet Kata,¤¤¤Szeljél bele zsölmle belet,¤¤¤Azzal kínálj meg engemet Kata.</v>
      </c>
      <c r="N30" s="12" t="str">
        <f t="shared" si="30"/>
        <v>Dm      ¤¤¤A bolhási kertek alatt Kata,¤¤¤Am¤¤¤De sok gyalog utak vannak Kata,¤¤¤Am            F¤¤¤Minden legény egyet csinál,¤¤¤         Dm                   ¤¤¤Aki a rózsájához jár Kata.¤¤¤¤¤¤¤¤¤Dm¤¤¤Árok partján rakjál tüzet Kata,¤¤¤Am¤¤¤Forralj nála édes tejet Kata,¤¤¤Am           F¤¤¤Szeljél bele zsölmle belet,¤¤¤             Dm¤¤¤Azzal kínálj meg engemet Kata.</v>
      </c>
    </row>
    <row r="31" ht="15.75" customHeight="1">
      <c r="A31" s="5" t="s">
        <v>211</v>
      </c>
      <c r="B31" s="9" t="s">
        <v>212</v>
      </c>
      <c r="C31" s="9"/>
      <c r="D31" s="9" t="s">
        <v>94</v>
      </c>
      <c r="E31" s="13" t="s">
        <v>213</v>
      </c>
      <c r="F31" s="8" t="s">
        <v>214</v>
      </c>
      <c r="G31" s="5" t="s">
        <v>209</v>
      </c>
      <c r="H31" s="9" t="str">
        <f t="shared" si="2"/>
        <v>:)</v>
      </c>
      <c r="I31" s="10" t="b">
        <v>0</v>
      </c>
      <c r="J31" s="14" t="s">
        <v>215</v>
      </c>
      <c r="K31" s="14" t="s">
        <v>216</v>
      </c>
      <c r="L31" s="12" t="b">
        <v>0</v>
      </c>
      <c r="M31" s="12" t="str">
        <f t="shared" ref="M31:N31" si="31">SUBSTITUTE(SUBSTITUTE(E31,CHAR(13)&amp;CHAR(10),"¤¤¤"),CHAR(10),"¤¤¤")</f>
        <v>A szennai lipisen, laposon¤¤¤leesett a szalagos kalapom,¤¤¤arra kérlek, Bözsikém, angyalom, galambom,¤¤¤végyed fel a szalagos kalapom.</v>
      </c>
      <c r="N31" s="12" t="str">
        <f t="shared" si="31"/>
        <v>D     G   Em       D¤¤¤A szennai lipisen, laposon¤¤¤A   D     G        A       ¤¤¤leesett a szalagos kalapom,¤¤¤D    G       Em        A¤¤¤arra kérlek, Bözsikém, angyalom, galambom,¤¤¤D      G     Em       D¤¤¤végyed fel a szalagos kalapom.</v>
      </c>
    </row>
    <row r="32" ht="15.75" customHeight="1">
      <c r="A32" s="5" t="s">
        <v>217</v>
      </c>
      <c r="B32" s="9" t="s">
        <v>218</v>
      </c>
      <c r="C32" s="9"/>
      <c r="D32" s="9" t="s">
        <v>94</v>
      </c>
      <c r="E32" s="13" t="s">
        <v>219</v>
      </c>
      <c r="F32" s="8" t="s">
        <v>220</v>
      </c>
      <c r="G32" s="5" t="s">
        <v>209</v>
      </c>
      <c r="H32" s="9" t="str">
        <f t="shared" si="2"/>
        <v>:)</v>
      </c>
      <c r="I32" s="10" t="b">
        <v>0</v>
      </c>
      <c r="J32" s="14" t="s">
        <v>221</v>
      </c>
      <c r="K32" s="14" t="s">
        <v>222</v>
      </c>
      <c r="L32" s="12" t="b">
        <v>0</v>
      </c>
      <c r="M32" s="12" t="str">
        <f t="shared" ref="M32:N32" si="32">SUBSTITUTE(SUBSTITUTE(E32,CHAR(13)&amp;CHAR(10),"¤¤¤"),CHAR(10),"¤¤¤")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N32" s="12" t="str">
        <f t="shared" si="32"/>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3" ht="15.75" customHeight="1">
      <c r="A33" s="5" t="s">
        <v>223</v>
      </c>
      <c r="B33" s="9" t="s">
        <v>224</v>
      </c>
      <c r="C33" s="9"/>
      <c r="D33" s="9" t="s">
        <v>94</v>
      </c>
      <c r="E33" s="13" t="s">
        <v>225</v>
      </c>
      <c r="F33" s="8" t="s">
        <v>226</v>
      </c>
      <c r="G33" s="5" t="s">
        <v>209</v>
      </c>
      <c r="H33" s="9" t="str">
        <f t="shared" si="2"/>
        <v>:)</v>
      </c>
      <c r="I33" s="10" t="b">
        <v>0</v>
      </c>
      <c r="J33" s="14" t="s">
        <v>227</v>
      </c>
      <c r="K33" s="14" t="s">
        <v>228</v>
      </c>
      <c r="L33" s="12" t="b">
        <v>0</v>
      </c>
      <c r="M33" s="12" t="str">
        <f t="shared" ref="M33:N33" si="33">SUBSTITUTE(SUBSTITUTE(E33,CHAR(13)&amp;CHAR(10),"¤¤¤"),CHAR(10),"¤¤¤")</f>
        <v>Erdő, erdő, erdő¤¤¤marosszéki kerek erdő¤¤¤Mardár lakik abban¤¤¤Madár lakik tizenkettő¤¤¤¤¤¤ll:Cukrot adnék annak a madárnak,¤¤¤dalolja ki nevét a babámnak¤¤¤csárdás kisangyalom, érted fáj a szívem nagyon:ll</v>
      </c>
      <c r="N33" s="12" t="str">
        <f t="shared" si="33"/>
        <v>G           D¤¤¤Erdő, erdő, erdő¤¤¤C                G¤¤¤marosszéki kerek erdő¤¤¤G            D¤¤¤Mardár lakik abban¤¤¤C                G¤¤¤Madár lakik tizenkettő¤¤¤¤¤¤¤¤¤G            Am¤¤¤Cukrot adnék annak a madárnak,¤¤¤G          C         ¤¤¤dalolja ki nevét a babámnak¤¤¤G            D¤¤¤csárdás kisangyalom, ¤¤¤C                  G¤¤¤érted fáj a szívem nagyon</v>
      </c>
    </row>
    <row r="34" ht="15.75" customHeight="1">
      <c r="A34" s="5" t="s">
        <v>229</v>
      </c>
      <c r="B34" s="9" t="s">
        <v>230</v>
      </c>
      <c r="C34" s="9"/>
      <c r="D34" s="9" t="s">
        <v>94</v>
      </c>
      <c r="E34" s="13" t="s">
        <v>231</v>
      </c>
      <c r="F34" s="8" t="s">
        <v>232</v>
      </c>
      <c r="G34" s="5" t="s">
        <v>209</v>
      </c>
      <c r="H34" s="9" t="str">
        <f t="shared" si="2"/>
        <v>:)</v>
      </c>
      <c r="I34" s="10" t="b">
        <v>0</v>
      </c>
      <c r="J34" s="14" t="s">
        <v>233</v>
      </c>
      <c r="K34" s="14" t="s">
        <v>234</v>
      </c>
      <c r="L34" s="12" t="b">
        <v>0</v>
      </c>
      <c r="M34" s="12" t="str">
        <f t="shared" ref="M34:N34" si="34">SUBSTITUTE(SUBSTITUTE(E34,CHAR(13)&amp;CHAR(10),"¤¤¤"),CHAR(10),"¤¤¤")</f>
        <v>Érik a szőlő,¤¤¤hajlik a vessző,¤¤¤bodor a levele,¤¤¤két szegény legény¤¤¤szántani menne,¤¤¤de nincsen kenyere.¤¤¤¤¤¤Van vöröshagyma¤¤¤a tarisznyában,¤¤¤keserű magában,¤¤¤szolgalegénynek,¤¤¤hej, a szegénynek¤¤¤de kevés vacsora!</v>
      </c>
      <c r="N34" s="12" t="str">
        <f t="shared" si="34"/>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5" ht="15.75" customHeight="1">
      <c r="A35" s="5" t="s">
        <v>235</v>
      </c>
      <c r="B35" s="9" t="s">
        <v>236</v>
      </c>
      <c r="C35" s="9"/>
      <c r="D35" s="9" t="s">
        <v>94</v>
      </c>
      <c r="E35" s="13" t="s">
        <v>237</v>
      </c>
      <c r="F35" s="8" t="s">
        <v>238</v>
      </c>
      <c r="G35" s="5" t="s">
        <v>209</v>
      </c>
      <c r="H35" s="9" t="str">
        <f t="shared" si="2"/>
        <v>:)</v>
      </c>
      <c r="I35" s="10" t="b">
        <v>0</v>
      </c>
      <c r="J35" s="14" t="s">
        <v>239</v>
      </c>
      <c r="K35" s="14" t="s">
        <v>240</v>
      </c>
      <c r="L35" s="12" t="b">
        <v>0</v>
      </c>
      <c r="M35" s="12" t="str">
        <f t="shared" ref="M35:N35" si="35">SUBSTITUTE(SUBSTITUTE(E35,CHAR(13)&amp;CHAR(10),"¤¤¤"),CHAR(10),"¤¤¤")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N35" s="12" t="str">
        <f t="shared" si="35"/>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6" ht="15.75" customHeight="1">
      <c r="A36" s="5" t="s">
        <v>241</v>
      </c>
      <c r="B36" s="9" t="s">
        <v>242</v>
      </c>
      <c r="C36" s="9"/>
      <c r="D36" s="9" t="s">
        <v>94</v>
      </c>
      <c r="E36" s="13" t="s">
        <v>243</v>
      </c>
      <c r="F36" s="8" t="s">
        <v>244</v>
      </c>
      <c r="G36" s="5" t="s">
        <v>209</v>
      </c>
      <c r="H36" s="9" t="str">
        <f t="shared" si="2"/>
        <v>:)</v>
      </c>
      <c r="I36" s="10" t="b">
        <v>0</v>
      </c>
      <c r="J36" s="14" t="s">
        <v>245</v>
      </c>
      <c r="K36" s="14" t="s">
        <v>246</v>
      </c>
      <c r="L36" s="12" t="b">
        <v>0</v>
      </c>
      <c r="M36" s="12" t="str">
        <f t="shared" ref="M36:N36" si="36">SUBSTITUTE(SUBSTITUTE(E36,CHAR(13)&amp;CHAR(10),"¤¤¤"),CHAR(10),"¤¤¤")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N36" s="12" t="str">
        <f t="shared" si="36"/>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7" ht="14.25" customHeight="1">
      <c r="A37" s="5" t="s">
        <v>247</v>
      </c>
      <c r="B37" s="9" t="s">
        <v>248</v>
      </c>
      <c r="C37" s="9"/>
      <c r="D37" s="9" t="s">
        <v>94</v>
      </c>
      <c r="E37" s="13" t="s">
        <v>249</v>
      </c>
      <c r="F37" s="8" t="s">
        <v>250</v>
      </c>
      <c r="G37" s="5" t="s">
        <v>209</v>
      </c>
      <c r="H37" s="9" t="str">
        <f t="shared" si="2"/>
        <v>:)</v>
      </c>
      <c r="I37" s="10" t="b">
        <v>0</v>
      </c>
      <c r="J37" s="14" t="s">
        <v>251</v>
      </c>
      <c r="K37" s="14" t="s">
        <v>252</v>
      </c>
      <c r="L37" s="12" t="b">
        <v>0</v>
      </c>
      <c r="M37" s="12" t="str">
        <f t="shared" ref="M37:N37" si="37">SUBSTITUTE(SUBSTITUTE(E37,CHAR(13)&amp;CHAR(10),"¤¤¤"),CHAR(10),"¤¤¤")</f>
        <v>Hull a szilva a fáról,¤¤¤most jövök a tanyáról,¤¤¤ej, haj, ruca, ruca, kukorica, derce.¤¤¤¤¤¤Egyik ága lehajlott,¤¤¤az én rózsám elhagyott,¤¤¤ej, haj, ruca, ruca, kukorica, derce.¤¤¤¤¤¤Kis kalapom fekete,¤¤¤pávatollu van benne,¤¤¤ej, haj, ruca, ruca, kukorica, derce.</v>
      </c>
      <c r="N37" s="12" t="str">
        <f t="shared" si="37"/>
        <v>Am¤¤¤Hull a szilva a fáról,¤¤¤G            E¤¤¤most jövök a tanyáról,¤¤¤G        C           E         Am¤¤¤ej, haj, ruca, ruca, kukorica, derce.¤¤¤¤¤¤¤¤¤Am¤¤¤Egyik ága lehajlott,¤¤¤G            E¤¤¤az én rózsám elhagyott,¤¤¤G        C           E         Am¤¤¤ej, haj, ruca, ruca, kukorica, derce.¤¤¤¤¤¤¤¤¤Am¤¤¤Kis kalapom fekete,¤¤¤G        E  ¤¤¤pávatola van benne,¤¤¤G        C           E         Am¤¤¤ej, haj, ruca, ruca, kukorica, derce.</v>
      </c>
    </row>
    <row r="38" ht="14.25" customHeight="1">
      <c r="A38" s="5" t="s">
        <v>253</v>
      </c>
      <c r="B38" s="9" t="s">
        <v>254</v>
      </c>
      <c r="C38" s="9"/>
      <c r="D38" s="9" t="s">
        <v>94</v>
      </c>
      <c r="E38" s="13" t="s">
        <v>255</v>
      </c>
      <c r="F38" s="8" t="s">
        <v>256</v>
      </c>
      <c r="G38" s="5" t="s">
        <v>209</v>
      </c>
      <c r="H38" s="9" t="str">
        <f t="shared" si="2"/>
        <v>:)</v>
      </c>
      <c r="I38" s="10" t="b">
        <v>0</v>
      </c>
      <c r="J38" s="14" t="s">
        <v>257</v>
      </c>
      <c r="K38" s="14" t="s">
        <v>258</v>
      </c>
      <c r="L38" s="12" t="b">
        <v>0</v>
      </c>
      <c r="M38" s="12" t="str">
        <f t="shared" ref="M38:N38" si="38">SUBSTITUTE(SUBSTITUTE(E38,CHAR(13)&amp;CHAR(10),"¤¤¤"),CHAR(10),"¤¤¤")</f>
        <v>Láttál- e már valaha¤¤¤csipkebokor rózsát,¤¤¤csipkebokor rózsa közt¤¤¤két szál majorannát?¤¤¤¤¤¤Egyik szál majoránna¤¤¤Virág Erzsi lenne,¤¤¤Másik szál majoránna¤¤¤Váci Gábor lenne.</v>
      </c>
      <c r="N38" s="12" t="str">
        <f t="shared" si="38"/>
        <v>C¤¤¤Láttál- e már valaha¤¤¤C           G¤¤¤csipkebokor rózsát,¤¤¤C           G¤¤¤csipkebokor rózsa közt¤¤¤C        G    C¤¤¤két szál majorannát?¤¤¤¤¤¤¤¤¤C¤¤¤Egyik szál majoránna¤¤¤C           G¤¤¤Virág Erzsi lenne,¤¤¤C          G¤¤¤Másik szál majoránna¤¤¤C    G     C¤¤¤Váci Gábor lenne.</v>
      </c>
    </row>
    <row r="39" ht="14.25" customHeight="1">
      <c r="A39" s="5" t="s">
        <v>259</v>
      </c>
      <c r="B39" s="9" t="s">
        <v>260</v>
      </c>
      <c r="C39" s="9"/>
      <c r="D39" s="9" t="s">
        <v>94</v>
      </c>
      <c r="E39" s="13" t="s">
        <v>261</v>
      </c>
      <c r="F39" s="8" t="s">
        <v>262</v>
      </c>
      <c r="G39" s="5" t="s">
        <v>209</v>
      </c>
      <c r="H39" s="9" t="str">
        <f t="shared" si="2"/>
        <v>:)</v>
      </c>
      <c r="I39" s="10" t="b">
        <v>0</v>
      </c>
      <c r="J39" s="14" t="s">
        <v>263</v>
      </c>
      <c r="K39" s="14" t="s">
        <v>263</v>
      </c>
      <c r="L39" s="12" t="b">
        <v>0</v>
      </c>
      <c r="M39" s="12" t="str">
        <f t="shared" ref="M39:N39" si="39">SUBSTITUTE(SUBSTITUTE(E39,CHAR(13)&amp;CHAR(10),"¤¤¤"),CHAR(10),"¤¤¤")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N39" s="12" t="str">
        <f t="shared" si="39"/>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40" ht="14.25" customHeight="1">
      <c r="A40" s="5" t="s">
        <v>264</v>
      </c>
      <c r="B40" s="9" t="s">
        <v>265</v>
      </c>
      <c r="C40" s="9"/>
      <c r="D40" s="5"/>
      <c r="E40" s="13" t="s">
        <v>266</v>
      </c>
      <c r="F40" s="7" t="s">
        <v>267</v>
      </c>
      <c r="G40" s="5" t="s">
        <v>268</v>
      </c>
      <c r="H40" s="9" t="str">
        <f t="shared" si="2"/>
        <v>:)</v>
      </c>
      <c r="I40" s="10" t="b">
        <v>0</v>
      </c>
      <c r="J40" s="12"/>
      <c r="K40" s="16" t="s">
        <v>76</v>
      </c>
      <c r="L40" s="12" t="b">
        <v>0</v>
      </c>
      <c r="M40" s="12" t="str">
        <f t="shared" ref="M40:N40" si="40">SUBSTITUTE(SUBSTITUTE(E40,CHAR(13)&amp;CHAR(10),"¤¤¤"),CHAR(10),"¤¤¤")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N40" s="12" t="str">
        <f t="shared" si="40"/>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1" ht="14.25" customHeight="1">
      <c r="A41" s="5" t="s">
        <v>269</v>
      </c>
      <c r="B41" s="9" t="s">
        <v>270</v>
      </c>
      <c r="C41" s="9"/>
      <c r="D41" s="9"/>
      <c r="E41" s="13" t="s">
        <v>271</v>
      </c>
      <c r="F41" s="13" t="s">
        <v>271</v>
      </c>
      <c r="G41" s="5" t="s">
        <v>268</v>
      </c>
      <c r="H41" s="9" t="str">
        <f t="shared" si="2"/>
        <v>:)</v>
      </c>
      <c r="I41" s="10" t="b">
        <v>0</v>
      </c>
      <c r="J41" s="12"/>
      <c r="K41" s="16" t="s">
        <v>76</v>
      </c>
      <c r="L41" s="12" t="b">
        <v>0</v>
      </c>
      <c r="M41" s="12" t="str">
        <f t="shared" ref="M41:N41" si="41">SUBSTITUTE(SUBSTITUTE(E41,CHAR(13)&amp;CHAR(10),"¤¤¤"),CHAR(10),"¤¤¤")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N41" s="12" t="str">
        <f t="shared" si="41"/>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2" ht="14.25" customHeight="1">
      <c r="A42" s="5" t="s">
        <v>272</v>
      </c>
      <c r="B42" s="5" t="s">
        <v>273</v>
      </c>
      <c r="C42" s="9"/>
      <c r="D42" s="5" t="s">
        <v>274</v>
      </c>
      <c r="E42" s="13" t="s">
        <v>275</v>
      </c>
      <c r="F42" s="8" t="s">
        <v>276</v>
      </c>
      <c r="G42" s="5" t="s">
        <v>268</v>
      </c>
      <c r="H42" s="9" t="str">
        <f t="shared" si="2"/>
        <v>:)</v>
      </c>
      <c r="I42" s="10" t="b">
        <v>0</v>
      </c>
      <c r="J42" s="23"/>
      <c r="K42" s="18" t="s">
        <v>277</v>
      </c>
      <c r="L42" s="23" t="b">
        <v>0</v>
      </c>
      <c r="M42" s="12" t="str">
        <f t="shared" ref="M42:N42" si="42">SUBSTITUTE(SUBSTITUTE(E42,CHAR(13)&amp;CHAR(10),"¤¤¤"),CHAR(10),"¤¤¤")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N42" s="12" t="str">
        <f t="shared" si="42"/>
        <v>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¤¤¤¤¤¤[Refrén ismétlés 2x]¤¤¤¤¤¤G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v>
      </c>
    </row>
    <row r="43" ht="14.25" customHeight="1">
      <c r="A43" s="5" t="s">
        <v>278</v>
      </c>
      <c r="B43" s="5" t="s">
        <v>279</v>
      </c>
      <c r="C43" s="5"/>
      <c r="D43" s="5" t="s">
        <v>280</v>
      </c>
      <c r="E43" s="7" t="s">
        <v>281</v>
      </c>
      <c r="F43" s="8" t="s">
        <v>282</v>
      </c>
      <c r="G43" s="5" t="s">
        <v>268</v>
      </c>
      <c r="H43" s="9" t="str">
        <f t="shared" si="2"/>
        <v>:)</v>
      </c>
      <c r="I43" s="10" t="b">
        <v>0</v>
      </c>
      <c r="J43" s="12"/>
      <c r="K43" s="14" t="s">
        <v>283</v>
      </c>
      <c r="L43" s="12" t="b">
        <v>0</v>
      </c>
      <c r="M43" s="12" t="str">
        <f t="shared" ref="M43:N43" si="43">SUBSTITUTE(SUBSTITUTE(E43,CHAR(13)&amp;CHAR(10),"¤¤¤"),CHAR(10),"¤¤¤")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N43" s="12" t="str">
        <f t="shared" si="43"/>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4" ht="14.25" customHeight="1">
      <c r="A44" s="5" t="s">
        <v>284</v>
      </c>
      <c r="B44" s="5" t="s">
        <v>285</v>
      </c>
      <c r="C44" s="5"/>
      <c r="D44" s="5" t="s">
        <v>280</v>
      </c>
      <c r="E44" s="7" t="s">
        <v>286</v>
      </c>
      <c r="F44" s="8" t="s">
        <v>287</v>
      </c>
      <c r="G44" s="5" t="s">
        <v>268</v>
      </c>
      <c r="H44" s="9" t="str">
        <f t="shared" si="2"/>
        <v>:)</v>
      </c>
      <c r="I44" s="10" t="b">
        <v>0</v>
      </c>
      <c r="J44" s="12"/>
      <c r="K44" s="16" t="s">
        <v>76</v>
      </c>
      <c r="L44" s="12" t="b">
        <v>0</v>
      </c>
      <c r="M44" s="12" t="str">
        <f t="shared" ref="M44:N44" si="44">SUBSTITUTE(SUBSTITUTE(E44,CHAR(13)&amp;CHAR(10),"¤¤¤"),CHAR(10),"¤¤¤")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N44" s="12" t="str">
        <f t="shared" si="44"/>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5" ht="14.25" customHeight="1">
      <c r="A45" s="5" t="s">
        <v>288</v>
      </c>
      <c r="B45" s="5" t="s">
        <v>289</v>
      </c>
      <c r="C45" s="6" t="s">
        <v>290</v>
      </c>
      <c r="D45" s="5" t="s">
        <v>291</v>
      </c>
      <c r="E45" s="7" t="s">
        <v>292</v>
      </c>
      <c r="F45" s="8" t="s">
        <v>293</v>
      </c>
      <c r="G45" s="5" t="s">
        <v>268</v>
      </c>
      <c r="H45" s="9" t="str">
        <f t="shared" si="2"/>
        <v>:)</v>
      </c>
      <c r="I45" s="21" t="b">
        <v>1</v>
      </c>
      <c r="J45" s="14" t="s">
        <v>294</v>
      </c>
      <c r="L45" s="16" t="b">
        <v>0</v>
      </c>
      <c r="M45" s="12" t="str">
        <f t="shared" ref="M45:N45" si="45">SUBSTITUTE(SUBSTITUTE(E45,CHAR(13)&amp;CHAR(10),"¤¤¤"),CHAR(10),"¤¤¤")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N45" s="12" t="str">
        <f t="shared" si="45"/>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6" ht="14.25" customHeight="1">
      <c r="A46" s="5" t="s">
        <v>295</v>
      </c>
      <c r="B46" s="5" t="s">
        <v>296</v>
      </c>
      <c r="C46" s="5"/>
      <c r="D46" s="5" t="s">
        <v>297</v>
      </c>
      <c r="E46" s="7" t="s">
        <v>298</v>
      </c>
      <c r="F46" s="8" t="s">
        <v>299</v>
      </c>
      <c r="G46" s="5" t="s">
        <v>268</v>
      </c>
      <c r="H46" s="9" t="str">
        <f t="shared" si="2"/>
        <v>:)</v>
      </c>
      <c r="I46" s="21" t="b">
        <v>1</v>
      </c>
      <c r="J46" s="14" t="s">
        <v>294</v>
      </c>
      <c r="K46" s="16" t="s">
        <v>76</v>
      </c>
      <c r="L46" s="12" t="b">
        <v>0</v>
      </c>
      <c r="M46" s="12" t="str">
        <f t="shared" ref="M46:N46" si="46">SUBSTITUTE(SUBSTITUTE(E46,CHAR(13)&amp;CHAR(10),"¤¤¤"),CHAR(10),"¤¤¤")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N46" s="12" t="str">
        <f t="shared" si="46"/>
        <v>Dm            Gm          Dm¤¤¤Azt nem mondhatod, ez itt a végső út.¤¤¤        Dm             Gm       Dm¤¤¤Habár a borús lepeltől az ég is rút.¤¤¤             Gm              Am          Gm¤¤¤||: Kivárjuk azt, míg ránk ragyog a holnapunk.¤¤¤      Dm          Gm            Dm ¤¤¤Zengő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row>
    <row r="47" ht="14.25" customHeight="1">
      <c r="A47" s="5" t="s">
        <v>300</v>
      </c>
      <c r="B47" s="5" t="s">
        <v>301</v>
      </c>
      <c r="C47" s="5" t="s">
        <v>121</v>
      </c>
      <c r="D47" s="5" t="s">
        <v>302</v>
      </c>
      <c r="E47" s="7" t="s">
        <v>303</v>
      </c>
      <c r="F47" s="17" t="s">
        <v>304</v>
      </c>
      <c r="G47" s="9" t="s">
        <v>305</v>
      </c>
      <c r="H47" s="9" t="str">
        <f t="shared" si="2"/>
        <v>:)</v>
      </c>
      <c r="I47" s="21" t="b">
        <v>1</v>
      </c>
      <c r="J47" s="14" t="s">
        <v>306</v>
      </c>
      <c r="L47" s="22" t="b">
        <v>0</v>
      </c>
      <c r="M47" s="12" t="str">
        <f t="shared" ref="M47:N47" si="47">SUBSTITUTE(SUBSTITUTE(E47,CHAR(13)&amp;CHAR(10),"¤¤¤"),CHAR(10),"¤¤¤")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N47" s="12" t="str">
        <f t="shared" si="47"/>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8" ht="14.25" customHeight="1">
      <c r="A48" s="5" t="s">
        <v>300</v>
      </c>
      <c r="B48" s="5" t="s">
        <v>301</v>
      </c>
      <c r="C48" s="20" t="s">
        <v>128</v>
      </c>
      <c r="D48" s="5" t="s">
        <v>302</v>
      </c>
      <c r="E48" s="7" t="s">
        <v>307</v>
      </c>
      <c r="F48" s="17" t="s">
        <v>308</v>
      </c>
      <c r="G48" s="9" t="s">
        <v>305</v>
      </c>
      <c r="H48" s="9" t="str">
        <f t="shared" si="2"/>
        <v>:)</v>
      </c>
      <c r="I48" s="21" t="b">
        <v>1</v>
      </c>
      <c r="J48" s="14" t="s">
        <v>306</v>
      </c>
      <c r="L48" s="16" t="b">
        <v>1</v>
      </c>
      <c r="M48" s="12" t="str">
        <f t="shared" ref="M48:N48" si="48">SUBSTITUTE(SUBSTITUTE(E48,CHAR(13)&amp;CHAR(10),"¤¤¤"),CHAR(10),"¤¤¤")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N48" s="12" t="str">
        <f t="shared" si="48"/>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49" ht="14.25" customHeight="1">
      <c r="A49" s="5" t="s">
        <v>309</v>
      </c>
      <c r="B49" s="9" t="s">
        <v>310</v>
      </c>
      <c r="C49" s="9"/>
      <c r="D49" s="9" t="s">
        <v>311</v>
      </c>
      <c r="E49" s="7" t="s">
        <v>312</v>
      </c>
      <c r="F49" s="17" t="s">
        <v>313</v>
      </c>
      <c r="G49" s="9" t="s">
        <v>305</v>
      </c>
      <c r="H49" s="9" t="str">
        <f t="shared" si="2"/>
        <v>:)</v>
      </c>
      <c r="I49" s="21" t="b">
        <v>1</v>
      </c>
      <c r="J49" s="14" t="s">
        <v>314</v>
      </c>
      <c r="L49" s="22" t="b">
        <v>0</v>
      </c>
      <c r="M49" s="12" t="str">
        <f t="shared" ref="M49:N49" si="49">SUBSTITUTE(SUBSTITUTE(E49,CHAR(13)&amp;CHAR(10),"¤¤¤"),CHAR(10),"¤¤¤")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v>
      </c>
      <c r="N49" s="12" t="str">
        <f t="shared" si="49"/>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0" ht="14.25" customHeight="1">
      <c r="A50" s="5" t="s">
        <v>309</v>
      </c>
      <c r="B50" s="9" t="s">
        <v>310</v>
      </c>
      <c r="C50" s="9"/>
      <c r="D50" s="9" t="s">
        <v>311</v>
      </c>
      <c r="E50" s="7" t="s">
        <v>315</v>
      </c>
      <c r="F50" s="17" t="s">
        <v>316</v>
      </c>
      <c r="G50" s="9" t="s">
        <v>305</v>
      </c>
      <c r="H50" s="9" t="str">
        <f t="shared" si="2"/>
        <v>:)</v>
      </c>
      <c r="I50" s="21" t="b">
        <v>1</v>
      </c>
      <c r="J50" s="14" t="s">
        <v>314</v>
      </c>
      <c r="L50" s="22" t="b">
        <v>0</v>
      </c>
      <c r="M50" s="12" t="str">
        <f t="shared" ref="M50:N50" si="50">SUBSTITUTE(SUBSTITUTE(E50,CHAR(13)&amp;CHAR(10),"¤¤¤"),CHAR(10),"¤¤¤")</f>
        <v>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N50" s="12" t="str">
        <f t="shared" si="50"/>
        <v>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1" ht="14.25" customHeight="1">
      <c r="A51" s="5" t="s">
        <v>317</v>
      </c>
      <c r="B51" s="9" t="s">
        <v>318</v>
      </c>
      <c r="C51" s="5" t="s">
        <v>121</v>
      </c>
      <c r="D51" s="9" t="s">
        <v>319</v>
      </c>
      <c r="E51" s="7" t="s">
        <v>320</v>
      </c>
      <c r="F51" s="17" t="s">
        <v>321</v>
      </c>
      <c r="G51" s="9" t="s">
        <v>305</v>
      </c>
      <c r="H51" s="9" t="str">
        <f t="shared" si="2"/>
        <v>:)</v>
      </c>
      <c r="I51" s="10" t="b">
        <v>0</v>
      </c>
      <c r="J51" s="14" t="s">
        <v>322</v>
      </c>
      <c r="K51" s="14" t="s">
        <v>323</v>
      </c>
      <c r="L51" s="12" t="b">
        <v>0</v>
      </c>
      <c r="M51" s="12" t="str">
        <f t="shared" ref="M51:N51" si="51">SUBSTITUTE(SUBSTITUTE(E51,CHAR(13)&amp;CHAR(10),"¤¤¤"),CHAR(10),"¤¤¤")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v>
      </c>
      <c r="N51" s="12" t="str">
        <f t="shared" si="51"/>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v>
      </c>
    </row>
    <row r="52" ht="14.25" customHeight="1">
      <c r="A52" s="5" t="s">
        <v>317</v>
      </c>
      <c r="B52" s="9" t="s">
        <v>318</v>
      </c>
      <c r="C52" s="20" t="s">
        <v>128</v>
      </c>
      <c r="D52" s="9" t="s">
        <v>319</v>
      </c>
      <c r="E52" s="7" t="s">
        <v>324</v>
      </c>
      <c r="F52" s="17" t="s">
        <v>325</v>
      </c>
      <c r="G52" s="9" t="s">
        <v>305</v>
      </c>
      <c r="H52" s="9" t="str">
        <f t="shared" si="2"/>
        <v>:)</v>
      </c>
      <c r="I52" s="10" t="b">
        <v>0</v>
      </c>
      <c r="J52" s="14" t="s">
        <v>322</v>
      </c>
      <c r="K52" s="14" t="s">
        <v>323</v>
      </c>
      <c r="L52" s="12" t="b">
        <v>0</v>
      </c>
      <c r="M52" s="12" t="str">
        <f t="shared" ref="M52:N52" si="52">SUBSTITUTE(SUBSTITUTE(E52,CHAR(13)&amp;CHAR(10),"¤¤¤"),CHAR(10),"¤¤¤")</f>
        <v>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N52" s="12" t="str">
        <f t="shared" si="52"/>
        <v>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3" ht="14.25" customHeight="1">
      <c r="A53" s="5" t="s">
        <v>326</v>
      </c>
      <c r="B53" s="9" t="s">
        <v>327</v>
      </c>
      <c r="C53" s="9"/>
      <c r="D53" s="9" t="s">
        <v>319</v>
      </c>
      <c r="E53" s="13" t="s">
        <v>328</v>
      </c>
      <c r="F53" s="24" t="s">
        <v>329</v>
      </c>
      <c r="G53" s="9" t="s">
        <v>305</v>
      </c>
      <c r="H53" s="9" t="str">
        <f t="shared" si="2"/>
        <v>:)</v>
      </c>
      <c r="I53" s="10" t="b">
        <v>0</v>
      </c>
      <c r="J53" s="14" t="s">
        <v>330</v>
      </c>
      <c r="K53" s="14" t="s">
        <v>331</v>
      </c>
      <c r="L53" s="12" t="b">
        <v>0</v>
      </c>
      <c r="M53" s="12" t="str">
        <f t="shared" ref="M53:N53" si="53">SUBSTITUTE(SUBSTITUTE(E53,CHAR(13)&amp;CHAR(10),"¤¤¤"),CHAR(10),"¤¤¤")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N53" s="12" t="str">
        <f t="shared" si="53"/>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4" ht="12.75" customHeight="1">
      <c r="A54" s="5" t="s">
        <v>332</v>
      </c>
      <c r="B54" s="9" t="s">
        <v>333</v>
      </c>
      <c r="C54" s="9"/>
      <c r="D54" s="9" t="s">
        <v>334</v>
      </c>
      <c r="E54" s="13" t="s">
        <v>335</v>
      </c>
      <c r="F54" s="24" t="s">
        <v>336</v>
      </c>
      <c r="G54" s="9" t="s">
        <v>305</v>
      </c>
      <c r="H54" s="9" t="str">
        <f t="shared" si="2"/>
        <v>:)</v>
      </c>
      <c r="I54" s="10" t="b">
        <v>0</v>
      </c>
      <c r="J54" s="14" t="s">
        <v>337</v>
      </c>
      <c r="K54" s="14" t="s">
        <v>338</v>
      </c>
      <c r="L54" s="12" t="b">
        <v>0</v>
      </c>
      <c r="M54" s="12" t="str">
        <f t="shared" ref="M54:N54" si="54">SUBSTITUTE(SUBSTITUTE(E54,CHAR(13)&amp;CHAR(10),"¤¤¤"),CHAR(10),"¤¤¤")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N54" s="12" t="str">
        <f t="shared" si="54"/>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5" ht="14.25" customHeight="1">
      <c r="A55" s="5" t="s">
        <v>339</v>
      </c>
      <c r="B55" s="9" t="s">
        <v>340</v>
      </c>
      <c r="C55" s="9"/>
      <c r="D55" s="9" t="s">
        <v>334</v>
      </c>
      <c r="E55" s="13" t="s">
        <v>341</v>
      </c>
      <c r="F55" s="24" t="s">
        <v>342</v>
      </c>
      <c r="G55" s="9" t="s">
        <v>305</v>
      </c>
      <c r="H55" s="9" t="str">
        <f t="shared" si="2"/>
        <v>:)</v>
      </c>
      <c r="I55" s="21" t="b">
        <v>1</v>
      </c>
      <c r="J55" s="14" t="s">
        <v>343</v>
      </c>
      <c r="K55" s="14" t="s">
        <v>344</v>
      </c>
      <c r="L55" s="22" t="b">
        <v>0</v>
      </c>
      <c r="M55" s="12" t="str">
        <f t="shared" ref="M55:N55" si="55">SUBSTITUTE(SUBSTITUTE(E55,CHAR(13)&amp;CHAR(10),"¤¤¤"),CHAR(10),"¤¤¤")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N55" s="12" t="str">
        <f t="shared" si="55"/>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6" ht="14.25" customHeight="1">
      <c r="A56" s="5" t="s">
        <v>345</v>
      </c>
      <c r="B56" s="9" t="s">
        <v>346</v>
      </c>
      <c r="C56" s="9"/>
      <c r="D56" s="9" t="s">
        <v>347</v>
      </c>
      <c r="E56" s="13" t="s">
        <v>348</v>
      </c>
      <c r="F56" s="24" t="s">
        <v>349</v>
      </c>
      <c r="G56" s="9" t="s">
        <v>305</v>
      </c>
      <c r="H56" s="9" t="str">
        <f t="shared" si="2"/>
        <v>:)</v>
      </c>
      <c r="I56" s="10" t="b">
        <v>0</v>
      </c>
      <c r="J56" s="14" t="s">
        <v>350</v>
      </c>
      <c r="L56" s="12" t="b">
        <v>0</v>
      </c>
      <c r="M56" s="12" t="str">
        <f t="shared" ref="M56:N56" si="56">SUBSTITUTE(SUBSTITUTE(E56,CHAR(13)&amp;CHAR(10),"¤¤¤"),CHAR(10),"¤¤¤")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N56" s="12" t="str">
        <f t="shared" si="56"/>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7" ht="14.25" customHeight="1">
      <c r="A57" s="5" t="s">
        <v>351</v>
      </c>
      <c r="B57" s="9" t="s">
        <v>352</v>
      </c>
      <c r="C57" s="9"/>
      <c r="D57" s="9" t="s">
        <v>347</v>
      </c>
      <c r="E57" s="13" t="s">
        <v>353</v>
      </c>
      <c r="F57" s="24" t="s">
        <v>354</v>
      </c>
      <c r="G57" s="9" t="s">
        <v>305</v>
      </c>
      <c r="H57" s="9" t="str">
        <f t="shared" si="2"/>
        <v>:)</v>
      </c>
      <c r="I57" s="10" t="b">
        <v>0</v>
      </c>
      <c r="J57" s="14" t="s">
        <v>355</v>
      </c>
      <c r="K57" s="14" t="s">
        <v>356</v>
      </c>
      <c r="L57" s="12" t="b">
        <v>0</v>
      </c>
      <c r="M57" s="12" t="str">
        <f t="shared" ref="M57:N57" si="57">SUBSTITUTE(SUBSTITUTE(E57,CHAR(13)&amp;CHAR(10),"¤¤¤"),CHAR(10),"¤¤¤")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N57" s="12" t="str">
        <f t="shared" si="57"/>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8" ht="14.25" customHeight="1">
      <c r="A58" s="5" t="s">
        <v>357</v>
      </c>
      <c r="B58" s="9" t="s">
        <v>358</v>
      </c>
      <c r="C58" s="9"/>
      <c r="D58" s="5" t="s">
        <v>359</v>
      </c>
      <c r="E58" s="7" t="s">
        <v>360</v>
      </c>
      <c r="F58" s="8" t="s">
        <v>361</v>
      </c>
      <c r="G58" s="9" t="s">
        <v>305</v>
      </c>
      <c r="H58" s="9" t="str">
        <f t="shared" si="2"/>
        <v>:)</v>
      </c>
      <c r="I58" s="21" t="b">
        <v>1</v>
      </c>
      <c r="J58" s="14" t="s">
        <v>362</v>
      </c>
      <c r="K58" s="14" t="s">
        <v>363</v>
      </c>
      <c r="L58" s="22" t="b">
        <v>0</v>
      </c>
      <c r="M58" s="12" t="str">
        <f t="shared" ref="M58:N58" si="58">SUBSTITUTE(SUBSTITUTE(E58,CHAR(13)&amp;CHAR(10),"¤¤¤"),CHAR(10),"¤¤¤")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N58" s="12" t="str">
        <f t="shared" si="58"/>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                   Am¤¤¤Szilvafa nőj nagyra! Szilvafa nőj nagyra¤¤¤Am¤¤¤Azt a keservit</v>
      </c>
    </row>
    <row r="59" ht="14.25" customHeight="1">
      <c r="A59" s="5" t="s">
        <v>364</v>
      </c>
      <c r="B59" s="5" t="s">
        <v>365</v>
      </c>
      <c r="C59" s="5"/>
      <c r="D59" s="5" t="s">
        <v>366</v>
      </c>
      <c r="E59" s="7" t="s">
        <v>367</v>
      </c>
      <c r="F59" s="8" t="s">
        <v>368</v>
      </c>
      <c r="G59" s="9" t="s">
        <v>305</v>
      </c>
      <c r="H59" s="9" t="str">
        <f t="shared" si="2"/>
        <v>:)</v>
      </c>
      <c r="I59" s="10" t="b">
        <v>0</v>
      </c>
      <c r="J59" s="14" t="s">
        <v>369</v>
      </c>
      <c r="K59" s="14" t="s">
        <v>370</v>
      </c>
      <c r="L59" s="12" t="b">
        <v>0</v>
      </c>
      <c r="M59" s="12" t="str">
        <f t="shared" ref="M59:N59" si="59">SUBSTITUTE(SUBSTITUTE(E59,CHAR(13)&amp;CHAR(10),"¤¤¤"),CHAR(10),"¤¤¤")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N59" s="12" t="str">
        <f t="shared" si="59"/>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60" ht="14.25" customHeight="1">
      <c r="A60" s="5" t="s">
        <v>371</v>
      </c>
      <c r="B60" s="5" t="s">
        <v>372</v>
      </c>
      <c r="C60" s="5"/>
      <c r="D60" s="5" t="s">
        <v>366</v>
      </c>
      <c r="E60" s="7" t="s">
        <v>373</v>
      </c>
      <c r="F60" s="8" t="s">
        <v>374</v>
      </c>
      <c r="G60" s="9" t="s">
        <v>305</v>
      </c>
      <c r="H60" s="9" t="str">
        <f t="shared" si="2"/>
        <v>:)</v>
      </c>
      <c r="I60" s="21" t="b">
        <v>1</v>
      </c>
      <c r="J60" s="14" t="s">
        <v>375</v>
      </c>
      <c r="K60" s="14" t="s">
        <v>376</v>
      </c>
      <c r="L60" s="22" t="b">
        <v>0</v>
      </c>
      <c r="M60" s="12" t="str">
        <f t="shared" ref="M60:N60" si="60">SUBSTITUTE(SUBSTITUTE(E60,CHAR(13)&amp;CHAR(10),"¤¤¤"),CHAR(10),"¤¤¤")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N60" s="12" t="str">
        <f t="shared" si="60"/>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61" ht="14.25" customHeight="1">
      <c r="A61" s="5" t="s">
        <v>377</v>
      </c>
      <c r="B61" s="5" t="s">
        <v>378</v>
      </c>
      <c r="C61" s="5" t="s">
        <v>121</v>
      </c>
      <c r="D61" s="9" t="s">
        <v>379</v>
      </c>
      <c r="E61" s="7" t="s">
        <v>380</v>
      </c>
      <c r="F61" s="8" t="s">
        <v>381</v>
      </c>
      <c r="G61" s="9" t="s">
        <v>305</v>
      </c>
      <c r="H61" s="9" t="str">
        <f t="shared" si="2"/>
        <v>:)</v>
      </c>
      <c r="I61" s="21" t="b">
        <v>1</v>
      </c>
      <c r="J61" s="14" t="s">
        <v>382</v>
      </c>
      <c r="K61" s="14" t="s">
        <v>383</v>
      </c>
      <c r="L61" s="22" t="b">
        <v>0</v>
      </c>
      <c r="M61" s="12" t="str">
        <f t="shared" ref="M61:N61" si="61">SUBSTITUTE(SUBSTITUTE(E61,CHAR(13)&amp;CHAR(10),"¤¤¤"),CHAR(10),"¤¤¤")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N61" s="12" t="str">
        <f t="shared" si="61"/>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62" ht="14.25" customHeight="1">
      <c r="A62" s="5" t="s">
        <v>377</v>
      </c>
      <c r="B62" s="5" t="s">
        <v>378</v>
      </c>
      <c r="C62" s="20" t="s">
        <v>128</v>
      </c>
      <c r="D62" s="9" t="s">
        <v>379</v>
      </c>
      <c r="E62" s="7" t="s">
        <v>384</v>
      </c>
      <c r="F62" s="8" t="s">
        <v>385</v>
      </c>
      <c r="G62" s="9" t="s">
        <v>305</v>
      </c>
      <c r="H62" s="9" t="str">
        <f t="shared" si="2"/>
        <v>:)</v>
      </c>
      <c r="I62" s="21" t="b">
        <v>1</v>
      </c>
      <c r="J62" s="14" t="s">
        <v>382</v>
      </c>
      <c r="K62" s="14" t="s">
        <v>383</v>
      </c>
      <c r="L62" s="16" t="b">
        <v>1</v>
      </c>
      <c r="M62" s="12" t="str">
        <f t="shared" ref="M62:N62" si="62">SUBSTITUTE(SUBSTITUTE(E62,CHAR(13)&amp;CHAR(10),"¤¤¤"),CHAR(10),"¤¤¤")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N62" s="12" t="str">
        <f t="shared" si="62"/>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3" ht="14.25" customHeight="1">
      <c r="A63" s="5" t="s">
        <v>386</v>
      </c>
      <c r="B63" s="5" t="s">
        <v>387</v>
      </c>
      <c r="C63" s="5"/>
      <c r="D63" s="9" t="s">
        <v>379</v>
      </c>
      <c r="E63" s="7" t="s">
        <v>388</v>
      </c>
      <c r="F63" s="8" t="s">
        <v>389</v>
      </c>
      <c r="G63" s="9" t="s">
        <v>305</v>
      </c>
      <c r="H63" s="9" t="str">
        <f t="shared" si="2"/>
        <v>:)</v>
      </c>
      <c r="I63" s="10" t="b">
        <v>0</v>
      </c>
      <c r="J63" s="14" t="s">
        <v>390</v>
      </c>
      <c r="K63" s="14" t="s">
        <v>390</v>
      </c>
      <c r="L63" s="12" t="b">
        <v>0</v>
      </c>
      <c r="M63" s="12" t="str">
        <f t="shared" ref="M63:N63" si="63">SUBSTITUTE(SUBSTITUTE(E63,CHAR(13)&amp;CHAR(10),"¤¤¤"),CHAR(10),"¤¤¤")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N63" s="12" t="str">
        <f t="shared" si="63"/>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4" ht="14.25" customHeight="1">
      <c r="A64" s="5" t="s">
        <v>391</v>
      </c>
      <c r="B64" s="9" t="s">
        <v>392</v>
      </c>
      <c r="C64" s="9"/>
      <c r="D64" s="9" t="s">
        <v>393</v>
      </c>
      <c r="E64" s="13" t="s">
        <v>394</v>
      </c>
      <c r="F64" s="24" t="s">
        <v>395</v>
      </c>
      <c r="G64" s="9" t="s">
        <v>305</v>
      </c>
      <c r="H64" s="9" t="str">
        <f t="shared" si="2"/>
        <v>:)</v>
      </c>
      <c r="I64" s="10" t="b">
        <v>0</v>
      </c>
      <c r="J64" s="14" t="s">
        <v>396</v>
      </c>
      <c r="K64" s="14" t="s">
        <v>397</v>
      </c>
      <c r="L64" s="12" t="b">
        <v>0</v>
      </c>
      <c r="M64" s="12" t="str">
        <f t="shared" ref="M64:N64" si="64">SUBSTITUTE(SUBSTITUTE(E64,CHAR(13)&amp;CHAR(10),"¤¤¤"),CHAR(10),"¤¤¤")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N64" s="12" t="str">
        <f t="shared" si="64"/>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5" ht="14.25" customHeight="1">
      <c r="A65" s="5" t="s">
        <v>398</v>
      </c>
      <c r="B65" s="9" t="s">
        <v>399</v>
      </c>
      <c r="C65" s="9"/>
      <c r="D65" s="5" t="s">
        <v>400</v>
      </c>
      <c r="E65" s="13" t="s">
        <v>401</v>
      </c>
      <c r="F65" s="24" t="s">
        <v>402</v>
      </c>
      <c r="G65" s="9" t="s">
        <v>305</v>
      </c>
      <c r="H65" s="9" t="str">
        <f t="shared" si="2"/>
        <v>:)</v>
      </c>
      <c r="I65" s="10" t="b">
        <v>0</v>
      </c>
      <c r="J65" s="14" t="s">
        <v>403</v>
      </c>
      <c r="K65" s="14" t="s">
        <v>404</v>
      </c>
      <c r="L65" s="12" t="b">
        <v>0</v>
      </c>
      <c r="M65" s="12" t="str">
        <f t="shared" ref="M65:N65" si="65">SUBSTITUTE(SUBSTITUTE(E65,CHAR(13)&amp;CHAR(10),"¤¤¤"),CHAR(10),"¤¤¤")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N65" s="12" t="str">
        <f t="shared" si="65"/>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6" ht="14.25" customHeight="1">
      <c r="A66" s="5" t="s">
        <v>405</v>
      </c>
      <c r="B66" s="5" t="s">
        <v>406</v>
      </c>
      <c r="C66" s="5"/>
      <c r="D66" s="5" t="s">
        <v>407</v>
      </c>
      <c r="E66" s="7" t="s">
        <v>408</v>
      </c>
      <c r="F66" s="8" t="s">
        <v>409</v>
      </c>
      <c r="G66" s="9" t="s">
        <v>305</v>
      </c>
      <c r="H66" s="9" t="str">
        <f t="shared" si="2"/>
        <v>:)</v>
      </c>
      <c r="I66" s="10" t="b">
        <v>0</v>
      </c>
      <c r="J66" s="14" t="s">
        <v>410</v>
      </c>
      <c r="K66" s="14" t="s">
        <v>410</v>
      </c>
      <c r="L66" s="12" t="b">
        <v>0</v>
      </c>
      <c r="M66" s="12" t="str">
        <f t="shared" ref="M66:N66" si="66">SUBSTITUTE(SUBSTITUTE(E66,CHAR(13)&amp;CHAR(10),"¤¤¤"),CHAR(10),"¤¤¤")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N66" s="12" t="str">
        <f t="shared" si="66"/>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7" ht="14.25" customHeight="1">
      <c r="A67" s="5" t="s">
        <v>411</v>
      </c>
      <c r="B67" s="9" t="s">
        <v>412</v>
      </c>
      <c r="C67" s="9"/>
      <c r="D67" s="9" t="s">
        <v>413</v>
      </c>
      <c r="E67" s="13" t="s">
        <v>414</v>
      </c>
      <c r="F67" s="24" t="s">
        <v>415</v>
      </c>
      <c r="G67" s="9" t="s">
        <v>305</v>
      </c>
      <c r="H67" s="9" t="str">
        <f t="shared" si="2"/>
        <v>:)</v>
      </c>
      <c r="I67" s="21" t="b">
        <v>1</v>
      </c>
      <c r="J67" s="14" t="s">
        <v>416</v>
      </c>
      <c r="K67" s="14" t="s">
        <v>417</v>
      </c>
      <c r="L67" s="22" t="b">
        <v>0</v>
      </c>
      <c r="M67" s="12" t="str">
        <f t="shared" ref="M67:N67" si="67">SUBSTITUTE(SUBSTITUTE(E67,CHAR(13)&amp;CHAR(10),"¤¤¤"),CHAR(10),"¤¤¤")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N67" s="12" t="str">
        <f t="shared" si="67"/>
        <v>Am¤¤¤Elkártyáztam a gyönge szívem¤¤¤E7¤¤¤Suhogasd fel a szoknyád, hajnal¤¤¤ ¤¤¤Pálinkát lehelek rád szelíden¤¤¤              Am¤¤¤Megháglak nehezen, halkan.¤¤¤¤¤¤¤¤¤Am¤¤¤Jöjj Oroszország, vodka világa¤¤¤E7¤¤¤Nevetés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8" ht="14.25" customHeight="1">
      <c r="A68" s="5" t="s">
        <v>418</v>
      </c>
      <c r="B68" s="5" t="s">
        <v>419</v>
      </c>
      <c r="C68" s="5"/>
      <c r="D68" s="9" t="s">
        <v>420</v>
      </c>
      <c r="E68" s="7" t="s">
        <v>421</v>
      </c>
      <c r="F68" s="8" t="s">
        <v>422</v>
      </c>
      <c r="G68" s="9" t="s">
        <v>305</v>
      </c>
      <c r="H68" s="9" t="str">
        <f t="shared" si="2"/>
        <v>:)</v>
      </c>
      <c r="I68" s="10" t="b">
        <v>0</v>
      </c>
      <c r="J68" s="14" t="s">
        <v>423</v>
      </c>
      <c r="K68" s="14" t="s">
        <v>424</v>
      </c>
      <c r="L68" s="12" t="b">
        <v>0</v>
      </c>
      <c r="M68" s="12" t="str">
        <f t="shared" ref="M68:N68" si="68">SUBSTITUTE(SUBSTITUTE(E68,CHAR(13)&amp;CHAR(10),"¤¤¤"),CHAR(10),"¤¤¤")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N68" s="12" t="str">
        <f t="shared" si="68"/>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9" ht="14.25" customHeight="1">
      <c r="A69" s="5" t="s">
        <v>425</v>
      </c>
      <c r="B69" s="5" t="s">
        <v>426</v>
      </c>
      <c r="C69" s="5" t="s">
        <v>121</v>
      </c>
      <c r="D69" s="5" t="s">
        <v>427</v>
      </c>
      <c r="E69" s="7" t="s">
        <v>428</v>
      </c>
      <c r="F69" s="8" t="s">
        <v>429</v>
      </c>
      <c r="G69" s="9" t="s">
        <v>305</v>
      </c>
      <c r="H69" s="9" t="str">
        <f t="shared" si="2"/>
        <v>:)</v>
      </c>
      <c r="I69" s="21" t="b">
        <v>1</v>
      </c>
      <c r="J69" s="14" t="s">
        <v>430</v>
      </c>
      <c r="K69" s="14" t="s">
        <v>431</v>
      </c>
      <c r="L69" s="22" t="b">
        <v>0</v>
      </c>
      <c r="M69" s="12" t="str">
        <f t="shared" ref="M69:N69" si="69">SUBSTITUTE(SUBSTITUTE(E69,CHAR(13)&amp;CHAR(10),"¤¤¤"),CHAR(10),"¤¤¤")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v>
      </c>
      <c r="N69" s="12" t="str">
        <f t="shared" si="69"/>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v>
      </c>
    </row>
    <row r="70" ht="14.25" customHeight="1">
      <c r="A70" s="5" t="s">
        <v>425</v>
      </c>
      <c r="B70" s="5" t="s">
        <v>426</v>
      </c>
      <c r="C70" s="20" t="s">
        <v>128</v>
      </c>
      <c r="D70" s="5" t="s">
        <v>427</v>
      </c>
      <c r="E70" s="7" t="s">
        <v>432</v>
      </c>
      <c r="F70" s="8" t="s">
        <v>433</v>
      </c>
      <c r="G70" s="9" t="s">
        <v>305</v>
      </c>
      <c r="H70" s="9" t="str">
        <f t="shared" si="2"/>
        <v>:)</v>
      </c>
      <c r="I70" s="21" t="b">
        <v>1</v>
      </c>
      <c r="J70" s="14" t="s">
        <v>430</v>
      </c>
      <c r="K70" s="14" t="s">
        <v>431</v>
      </c>
      <c r="L70" s="16" t="b">
        <v>1</v>
      </c>
      <c r="M70" s="12" t="str">
        <f t="shared" ref="M70:N70" si="70">SUBSTITUTE(SUBSTITUTE(E70,CHAR(13)&amp;CHAR(10),"¤¤¤"),CHAR(10),"¤¤¤")</f>
        <v>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N70" s="12" t="str">
        <f t="shared" si="70"/>
        <v>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1" ht="14.25" customHeight="1">
      <c r="A71" s="5" t="s">
        <v>434</v>
      </c>
      <c r="B71" s="5" t="s">
        <v>435</v>
      </c>
      <c r="C71" s="5" t="s">
        <v>121</v>
      </c>
      <c r="D71" s="9" t="s">
        <v>436</v>
      </c>
      <c r="E71" s="7" t="s">
        <v>437</v>
      </c>
      <c r="F71" s="8" t="s">
        <v>438</v>
      </c>
      <c r="G71" s="9" t="s">
        <v>305</v>
      </c>
      <c r="H71" s="9" t="str">
        <f t="shared" si="2"/>
        <v>:)</v>
      </c>
      <c r="I71" s="21" t="b">
        <v>1</v>
      </c>
      <c r="J71" s="14" t="s">
        <v>439</v>
      </c>
      <c r="K71" s="14" t="s">
        <v>439</v>
      </c>
      <c r="L71" s="22" t="b">
        <v>0</v>
      </c>
      <c r="M71" s="12" t="str">
        <f t="shared" ref="M71:N71" si="71">SUBSTITUTE(SUBSTITUTE(E71,CHAR(13)&amp;CHAR(10),"¤¤¤"),CHAR(10),"¤¤¤")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N71" s="12" t="str">
        <f t="shared" si="71"/>
        <v>D A Bm G¤¤¤¤¤¤D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¤¤¤¤¤¤D          A        Bm        G      D        A  Bm  G¤¤¤akármilyen meglepő, mégiscsak ezek a legszebb éveink ¤¤¤D          A          Bm        G           D    A      Bm   G¤¤¤felkelünk, dolgozunk, berúgunk, lefekszünk, felkelünk megint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¤¤¤¤¤¤D               A      Bm                    G¤¤¤annyira utálom, amikor felteszem valamire az életem, ¤¤¤      D             A           Bm                      G¤¤¤aztán jön valaki és megcsinálja sokkal jobban, csak úgy mellékesen¤¤¤¤¤¤D          A        Bm        G      D        A  Bm  G¤¤¤akármilyen meglepő, mégiscsak ezek a legszebb éveink ¤¤¤D          A          Bm        G           D    A      Bm   G¤¤¤felkelünk, dolgozunk, berúgunk, lefekszünk, felkelünk megint ¤¤¤¤¤¤ ¤¤¤D A Bm G</v>
      </c>
    </row>
    <row r="72" ht="14.25" customHeight="1">
      <c r="A72" s="5" t="s">
        <v>440</v>
      </c>
      <c r="B72" s="9" t="s">
        <v>441</v>
      </c>
      <c r="C72" s="9"/>
      <c r="D72" s="9" t="s">
        <v>442</v>
      </c>
      <c r="E72" s="13" t="s">
        <v>443</v>
      </c>
      <c r="F72" s="24" t="s">
        <v>444</v>
      </c>
      <c r="G72" s="9" t="s">
        <v>305</v>
      </c>
      <c r="H72" s="9" t="str">
        <f t="shared" si="2"/>
        <v>:)</v>
      </c>
      <c r="I72" s="10" t="b">
        <v>0</v>
      </c>
      <c r="J72" s="14" t="s">
        <v>445</v>
      </c>
      <c r="K72" s="14" t="s">
        <v>445</v>
      </c>
      <c r="L72" s="12" t="b">
        <v>0</v>
      </c>
      <c r="M72" s="12" t="str">
        <f t="shared" ref="M72:N72" si="72">SUBSTITUTE(SUBSTITUTE(E72,CHAR(13)&amp;CHAR(10),"¤¤¤"),CHAR(10),"¤¤¤")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N72" s="12" t="str">
        <f t="shared" si="72"/>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73" ht="14.25" customHeight="1">
      <c r="A73" s="5" t="s">
        <v>446</v>
      </c>
      <c r="B73" s="9" t="s">
        <v>447</v>
      </c>
      <c r="C73" s="9"/>
      <c r="D73" s="9" t="s">
        <v>160</v>
      </c>
      <c r="E73" s="13" t="s">
        <v>448</v>
      </c>
      <c r="F73" s="8" t="s">
        <v>449</v>
      </c>
      <c r="G73" s="9" t="s">
        <v>305</v>
      </c>
      <c r="H73" s="9" t="str">
        <f t="shared" si="2"/>
        <v>:)</v>
      </c>
      <c r="I73" s="21" t="b">
        <v>1</v>
      </c>
      <c r="J73" s="14" t="s">
        <v>450</v>
      </c>
      <c r="K73" s="14" t="s">
        <v>451</v>
      </c>
      <c r="L73" s="22" t="b">
        <v>0</v>
      </c>
      <c r="M73" s="12" t="str">
        <f t="shared" ref="M73:N73" si="73">SUBSTITUTE(SUBSTITUTE(E73,CHAR(13)&amp;CHAR(10),"¤¤¤"),CHAR(10),"¤¤¤")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N73" s="12" t="str">
        <f t="shared" si="73"/>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4" ht="14.25" customHeight="1">
      <c r="A74" s="5" t="s">
        <v>452</v>
      </c>
      <c r="B74" s="9" t="s">
        <v>453</v>
      </c>
      <c r="C74" s="9"/>
      <c r="D74" s="5" t="s">
        <v>454</v>
      </c>
      <c r="E74" s="13" t="s">
        <v>455</v>
      </c>
      <c r="F74" s="24" t="s">
        <v>456</v>
      </c>
      <c r="G74" s="9" t="s">
        <v>305</v>
      </c>
      <c r="H74" s="9" t="str">
        <f t="shared" si="2"/>
        <v>:)</v>
      </c>
      <c r="I74" s="10" t="b">
        <v>0</v>
      </c>
      <c r="J74" s="14" t="s">
        <v>457</v>
      </c>
      <c r="K74" s="14" t="s">
        <v>458</v>
      </c>
      <c r="L74" s="12" t="b">
        <v>0</v>
      </c>
      <c r="M74" s="12" t="str">
        <f t="shared" ref="M74:N74" si="74">SUBSTITUTE(SUBSTITUTE(E74,CHAR(13)&amp;CHAR(10),"¤¤¤"),CHAR(10),"¤¤¤")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N74" s="12" t="str">
        <f t="shared" si="74"/>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5" ht="14.25" customHeight="1">
      <c r="A75" s="5" t="s">
        <v>459</v>
      </c>
      <c r="B75" s="5" t="s">
        <v>460</v>
      </c>
      <c r="C75" s="5" t="s">
        <v>121</v>
      </c>
      <c r="D75" s="5" t="s">
        <v>461</v>
      </c>
      <c r="E75" s="7" t="s">
        <v>462</v>
      </c>
      <c r="F75" s="8" t="s">
        <v>463</v>
      </c>
      <c r="G75" s="9" t="s">
        <v>305</v>
      </c>
      <c r="H75" s="9" t="str">
        <f t="shared" si="2"/>
        <v>:)</v>
      </c>
      <c r="I75" s="10" t="b">
        <v>0</v>
      </c>
      <c r="J75" s="14" t="s">
        <v>464</v>
      </c>
      <c r="K75" s="14" t="s">
        <v>464</v>
      </c>
      <c r="L75" s="12" t="b">
        <v>0</v>
      </c>
      <c r="M75" s="12" t="str">
        <f t="shared" ref="M75:N75" si="75">SUBSTITUTE(SUBSTITUTE(E75,CHAR(13)&amp;CHAR(10),"¤¤¤"),CHAR(10),"¤¤¤")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c r="N75" s="12" t="str">
        <f t="shared" si="75"/>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négy¤¤¤¤¤¤Em                       D¤¤¤Oj smerle húzd a hegedűt tejwje fuvolázz¤¤¤D                        Em¤¤¤haddhalják meg mindenütt hallja meg minden ház ¤¤¤Em¤¤¤oj oj oj oj oj oj ¤¤¤D                         Em¤¤¤hadd halják meg mindenütt hallja meg minden ház.¤¤¤¤¤¤Oj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row>
    <row r="76" ht="14.25" customHeight="1">
      <c r="A76" s="5" t="s">
        <v>465</v>
      </c>
      <c r="B76" s="5" t="s">
        <v>466</v>
      </c>
      <c r="C76" s="5"/>
      <c r="D76" s="5" t="s">
        <v>467</v>
      </c>
      <c r="E76" s="7" t="s">
        <v>468</v>
      </c>
      <c r="F76" s="8" t="s">
        <v>469</v>
      </c>
      <c r="G76" s="9" t="s">
        <v>305</v>
      </c>
      <c r="H76" s="9" t="str">
        <f t="shared" si="2"/>
        <v>:)</v>
      </c>
      <c r="I76" s="10" t="b">
        <v>0</v>
      </c>
      <c r="J76" s="14" t="s">
        <v>470</v>
      </c>
      <c r="K76" s="14" t="s">
        <v>471</v>
      </c>
      <c r="L76" s="12" t="b">
        <v>0</v>
      </c>
      <c r="M76" s="12" t="str">
        <f t="shared" ref="M76:N76" si="76">SUBSTITUTE(SUBSTITUTE(E76,CHAR(13)&amp;CHAR(10),"¤¤¤"),CHAR(10),"¤¤¤")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N76" s="12" t="str">
        <f t="shared" si="76"/>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7" ht="14.25" customHeight="1">
      <c r="A77" s="5" t="s">
        <v>472</v>
      </c>
      <c r="B77" s="9" t="s">
        <v>473</v>
      </c>
      <c r="C77" s="9"/>
      <c r="D77" s="9" t="s">
        <v>474</v>
      </c>
      <c r="E77" s="13" t="s">
        <v>475</v>
      </c>
      <c r="F77" s="24" t="s">
        <v>476</v>
      </c>
      <c r="G77" s="9" t="s">
        <v>305</v>
      </c>
      <c r="H77" s="9" t="str">
        <f t="shared" si="2"/>
        <v>:)</v>
      </c>
      <c r="I77" s="10" t="b">
        <v>0</v>
      </c>
      <c r="J77" s="14" t="s">
        <v>477</v>
      </c>
      <c r="K77" s="14" t="s">
        <v>478</v>
      </c>
      <c r="L77" s="12" t="b">
        <v>0</v>
      </c>
      <c r="M77" s="12" t="str">
        <f t="shared" ref="M77:N77" si="77">SUBSTITUTE(SUBSTITUTE(E77,CHAR(13)&amp;CHAR(10),"¤¤¤"),CHAR(10),"¤¤¤")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N77" s="12" t="str">
        <f t="shared" si="77"/>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78" ht="14.25" customHeight="1">
      <c r="A78" s="5" t="s">
        <v>479</v>
      </c>
      <c r="B78" s="9" t="s">
        <v>480</v>
      </c>
      <c r="C78" s="9"/>
      <c r="D78" s="9" t="s">
        <v>481</v>
      </c>
      <c r="E78" s="13" t="s">
        <v>482</v>
      </c>
      <c r="F78" s="8" t="s">
        <v>483</v>
      </c>
      <c r="G78" s="9" t="s">
        <v>305</v>
      </c>
      <c r="H78" s="9" t="str">
        <f t="shared" si="2"/>
        <v>:)</v>
      </c>
      <c r="I78" s="10" t="b">
        <v>0</v>
      </c>
      <c r="J78" s="14" t="s">
        <v>484</v>
      </c>
      <c r="K78" s="14" t="s">
        <v>485</v>
      </c>
      <c r="L78" s="12" t="b">
        <v>0</v>
      </c>
      <c r="M78" s="12" t="str">
        <f t="shared" ref="M78:N78" si="78">SUBSTITUTE(SUBSTITUTE(E78,CHAR(13)&amp;CHAR(10),"¤¤¤"),CHAR(10),"¤¤¤")</f>
        <v>Ó, ne vidd el két szemeddel a napsugarat,¤¤¤Ne menj, várj még, mert e tájék sötétben marad,¤¤¤Ág nem himbál, fecske nem száll, béres nem arat,¤¤¤Ó, ne vidd el két szemeddel a napsugarat!</v>
      </c>
      <c r="N78" s="12" t="str">
        <f t="shared" si="78"/>
        <v>Em            H                       Em¤¤¤Ó, ne vidd el két szemeddel a napsugarat,¤¤¤Em                              G¤¤¤Ne menj, várj még, mert e tájék sötétben marad,¤¤¤E              Am                D           G¤¤¤Ág nem himbál, fecske nem száll, béres nem arat,¤¤¤Em            H                       Em¤¤¤Ó, ne vidd el két szemeddel a napsugarat!¤¤¤</v>
      </c>
    </row>
    <row r="79" ht="14.25" customHeight="1">
      <c r="A79" s="5" t="s">
        <v>486</v>
      </c>
      <c r="B79" s="9" t="s">
        <v>487</v>
      </c>
      <c r="C79" s="9"/>
      <c r="D79" s="9" t="s">
        <v>488</v>
      </c>
      <c r="E79" s="13" t="s">
        <v>489</v>
      </c>
      <c r="F79" s="24" t="s">
        <v>490</v>
      </c>
      <c r="G79" s="9" t="s">
        <v>305</v>
      </c>
      <c r="H79" s="9" t="str">
        <f t="shared" si="2"/>
        <v>:)</v>
      </c>
      <c r="I79" s="10" t="b">
        <v>0</v>
      </c>
      <c r="J79" s="14" t="s">
        <v>491</v>
      </c>
      <c r="K79" s="14" t="s">
        <v>491</v>
      </c>
      <c r="L79" s="12" t="b">
        <v>0</v>
      </c>
      <c r="M79" s="12" t="str">
        <f t="shared" ref="M79:N79" si="79">SUBSTITUTE(SUBSTITUTE(E79,CHAR(13)&amp;CHAR(10),"¤¤¤"),CHAR(10),"¤¤¤")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N79" s="12" t="str">
        <f t="shared" si="79"/>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80" ht="14.25" customHeight="1">
      <c r="A80" s="5" t="s">
        <v>492</v>
      </c>
      <c r="B80" s="5" t="s">
        <v>493</v>
      </c>
      <c r="C80" s="5"/>
      <c r="D80" s="9" t="s">
        <v>494</v>
      </c>
      <c r="E80" s="7" t="s">
        <v>495</v>
      </c>
      <c r="F80" s="8" t="s">
        <v>496</v>
      </c>
      <c r="G80" s="9" t="s">
        <v>305</v>
      </c>
      <c r="H80" s="9" t="str">
        <f t="shared" si="2"/>
        <v>:)</v>
      </c>
      <c r="I80" s="10" t="b">
        <v>0</v>
      </c>
      <c r="J80" s="14" t="s">
        <v>497</v>
      </c>
      <c r="K80" s="14" t="s">
        <v>497</v>
      </c>
      <c r="L80" s="12" t="b">
        <v>0</v>
      </c>
      <c r="M80" s="12" t="str">
        <f t="shared" ref="M80:N80" si="80">SUBSTITUTE(SUBSTITUTE(E80,CHAR(13)&amp;CHAR(10),"¤¤¤"),CHAR(10),"¤¤¤")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N80" s="12" t="str">
        <f t="shared" si="80"/>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81" ht="14.25" customHeight="1">
      <c r="A81" s="5" t="s">
        <v>498</v>
      </c>
      <c r="B81" s="9" t="s">
        <v>499</v>
      </c>
      <c r="C81" s="9"/>
      <c r="D81" s="9" t="s">
        <v>500</v>
      </c>
      <c r="E81" s="13" t="s">
        <v>501</v>
      </c>
      <c r="F81" s="24" t="s">
        <v>502</v>
      </c>
      <c r="G81" s="9" t="s">
        <v>305</v>
      </c>
      <c r="H81" s="9" t="str">
        <f t="shared" si="2"/>
        <v>:)</v>
      </c>
      <c r="I81" s="21" t="b">
        <v>1</v>
      </c>
      <c r="J81" s="14" t="s">
        <v>503</v>
      </c>
      <c r="K81" s="14" t="s">
        <v>504</v>
      </c>
      <c r="L81" s="22" t="b">
        <v>0</v>
      </c>
      <c r="M81" s="12" t="str">
        <f t="shared" ref="M81:N81" si="81">SUBSTITUTE(SUBSTITUTE(E81,CHAR(13)&amp;CHAR(10),"¤¤¤"),CHAR(10),"¤¤¤")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N81" s="12" t="str">
        <f t="shared" si="81"/>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82" ht="14.25" customHeight="1">
      <c r="A82" s="5" t="s">
        <v>505</v>
      </c>
      <c r="B82" s="5" t="s">
        <v>506</v>
      </c>
      <c r="C82" s="5" t="s">
        <v>121</v>
      </c>
      <c r="D82" s="9" t="s">
        <v>500</v>
      </c>
      <c r="E82" s="7" t="s">
        <v>507</v>
      </c>
      <c r="F82" s="8" t="s">
        <v>508</v>
      </c>
      <c r="G82" s="9" t="s">
        <v>305</v>
      </c>
      <c r="H82" s="9" t="str">
        <f t="shared" si="2"/>
        <v>:)</v>
      </c>
      <c r="I82" s="10" t="b">
        <v>0</v>
      </c>
      <c r="J82" s="14" t="s">
        <v>509</v>
      </c>
      <c r="K82" s="14" t="s">
        <v>510</v>
      </c>
      <c r="L82" s="12" t="b">
        <v>0</v>
      </c>
      <c r="M82" s="12" t="str">
        <f t="shared" ref="M82:N82" si="82">SUBSTITUTE(SUBSTITUTE(E82,CHAR(13)&amp;CHAR(10),"¤¤¤"),CHAR(10),"¤¤¤")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v>
      </c>
      <c r="N82" s="12" t="str">
        <f t="shared" si="82"/>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v>
      </c>
    </row>
    <row r="83" ht="14.25" customHeight="1">
      <c r="A83" s="5" t="s">
        <v>505</v>
      </c>
      <c r="B83" s="5" t="s">
        <v>506</v>
      </c>
      <c r="C83" s="20" t="s">
        <v>128</v>
      </c>
      <c r="D83" s="9" t="s">
        <v>500</v>
      </c>
      <c r="E83" s="7" t="s">
        <v>511</v>
      </c>
      <c r="F83" s="8" t="s">
        <v>512</v>
      </c>
      <c r="G83" s="9" t="s">
        <v>305</v>
      </c>
      <c r="H83" s="9" t="str">
        <f t="shared" si="2"/>
        <v>:)</v>
      </c>
      <c r="I83" s="10" t="b">
        <v>0</v>
      </c>
      <c r="J83" s="14" t="s">
        <v>509</v>
      </c>
      <c r="K83" s="14" t="s">
        <v>510</v>
      </c>
      <c r="L83" s="16" t="b">
        <v>1</v>
      </c>
      <c r="M83" s="12" t="str">
        <f t="shared" ref="M83:N83" si="83">SUBSTITUTE(SUBSTITUTE(E83,CHAR(13)&amp;CHAR(10),"¤¤¤"),CHAR(10),"¤¤¤")</f>
        <v>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N83" s="12" t="str">
        <f t="shared" si="83"/>
        <v>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84" ht="14.25" customHeight="1">
      <c r="A84" s="5" t="s">
        <v>513</v>
      </c>
      <c r="B84" s="9" t="s">
        <v>514</v>
      </c>
      <c r="C84" s="9"/>
      <c r="D84" s="9" t="s">
        <v>500</v>
      </c>
      <c r="E84" s="13" t="s">
        <v>515</v>
      </c>
      <c r="F84" s="24" t="s">
        <v>516</v>
      </c>
      <c r="G84" s="9" t="s">
        <v>305</v>
      </c>
      <c r="H84" s="9" t="str">
        <f t="shared" si="2"/>
        <v>:)</v>
      </c>
      <c r="I84" s="21" t="b">
        <v>1</v>
      </c>
      <c r="J84" s="14" t="s">
        <v>517</v>
      </c>
      <c r="K84" s="14" t="s">
        <v>518</v>
      </c>
      <c r="L84" s="22" t="b">
        <v>0</v>
      </c>
      <c r="M84" s="12" t="str">
        <f t="shared" ref="M84:N84" si="84">SUBSTITUTE(SUBSTITUTE(E84,CHAR(13)&amp;CHAR(10),"¤¤¤"),CHAR(10),"¤¤¤")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N84" s="12" t="str">
        <f t="shared" si="84"/>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5" ht="14.25" customHeight="1">
      <c r="A85" s="5" t="s">
        <v>519</v>
      </c>
      <c r="B85" s="9" t="s">
        <v>520</v>
      </c>
      <c r="C85" s="9"/>
      <c r="D85" s="9" t="s">
        <v>500</v>
      </c>
      <c r="E85" s="13" t="s">
        <v>521</v>
      </c>
      <c r="F85" s="24" t="s">
        <v>522</v>
      </c>
      <c r="G85" s="9" t="s">
        <v>305</v>
      </c>
      <c r="H85" s="9" t="str">
        <f t="shared" si="2"/>
        <v>:)</v>
      </c>
      <c r="I85" s="21" t="b">
        <v>1</v>
      </c>
      <c r="J85" s="14" t="s">
        <v>523</v>
      </c>
      <c r="K85" s="14" t="s">
        <v>524</v>
      </c>
      <c r="L85" s="22" t="b">
        <v>0</v>
      </c>
      <c r="M85" s="12" t="str">
        <f t="shared" ref="M85:N85" si="85">SUBSTITUTE(SUBSTITUTE(E85,CHAR(13)&amp;CHAR(10),"¤¤¤"),CHAR(10),"¤¤¤")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N85" s="12" t="str">
        <f t="shared" si="85"/>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6" ht="14.25" customHeight="1">
      <c r="A86" s="5" t="s">
        <v>525</v>
      </c>
      <c r="B86" s="5" t="s">
        <v>526</v>
      </c>
      <c r="C86" s="5"/>
      <c r="D86" s="5" t="s">
        <v>527</v>
      </c>
      <c r="E86" s="7" t="s">
        <v>528</v>
      </c>
      <c r="F86" s="8" t="s">
        <v>529</v>
      </c>
      <c r="G86" s="9" t="s">
        <v>305</v>
      </c>
      <c r="H86" s="9" t="str">
        <f t="shared" si="2"/>
        <v>:)</v>
      </c>
      <c r="I86" s="21" t="b">
        <v>0</v>
      </c>
      <c r="J86" s="14" t="s">
        <v>530</v>
      </c>
      <c r="K86" s="14" t="s">
        <v>531</v>
      </c>
      <c r="L86" s="22" t="b">
        <v>0</v>
      </c>
      <c r="M86" s="12" t="str">
        <f t="shared" ref="M86:N86" si="86">SUBSTITUTE(SUBSTITUTE(E86,CHAR(13)&amp;CHAR(10),"¤¤¤"),CHAR(10),"¤¤¤")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N86" s="12" t="str">
        <f t="shared" si="86"/>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7" ht="14.25" customHeight="1">
      <c r="A87" s="5" t="s">
        <v>532</v>
      </c>
      <c r="B87" s="5" t="s">
        <v>533</v>
      </c>
      <c r="C87" s="5" t="s">
        <v>121</v>
      </c>
      <c r="D87" s="5" t="s">
        <v>534</v>
      </c>
      <c r="E87" s="7" t="s">
        <v>535</v>
      </c>
      <c r="F87" s="8" t="s">
        <v>536</v>
      </c>
      <c r="G87" s="9" t="s">
        <v>305</v>
      </c>
      <c r="H87" s="9" t="str">
        <f t="shared" si="2"/>
        <v>:)</v>
      </c>
      <c r="I87" s="21" t="b">
        <v>1</v>
      </c>
      <c r="J87" s="14" t="s">
        <v>537</v>
      </c>
      <c r="K87" s="14" t="s">
        <v>537</v>
      </c>
      <c r="L87" s="22" t="b">
        <v>0</v>
      </c>
      <c r="M87" s="12" t="str">
        <f t="shared" ref="M87:N87" si="87">SUBSTITUTE(SUBSTITUTE(E87,CHAR(13)&amp;CHAR(10),"¤¤¤"),CHAR(10),"¤¤¤")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v>
      </c>
      <c r="N87" s="12" t="str">
        <f t="shared" si="87"/>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88" ht="14.25" customHeight="1">
      <c r="A88" s="5" t="s">
        <v>532</v>
      </c>
      <c r="B88" s="5" t="s">
        <v>533</v>
      </c>
      <c r="C88" s="20" t="s">
        <v>128</v>
      </c>
      <c r="D88" s="5" t="s">
        <v>534</v>
      </c>
      <c r="E88" s="7" t="s">
        <v>538</v>
      </c>
      <c r="F88" s="8" t="s">
        <v>539</v>
      </c>
      <c r="G88" s="9" t="s">
        <v>305</v>
      </c>
      <c r="H88" s="9" t="str">
        <f t="shared" si="2"/>
        <v>:)</v>
      </c>
      <c r="I88" s="21" t="b">
        <v>1</v>
      </c>
      <c r="J88" s="14" t="s">
        <v>537</v>
      </c>
      <c r="K88" s="14" t="s">
        <v>537</v>
      </c>
      <c r="L88" s="16" t="b">
        <v>1</v>
      </c>
      <c r="M88" s="12" t="str">
        <f t="shared" ref="M88:N88" si="88">SUBSTITUTE(SUBSTITUTE(E88,CHAR(13)&amp;CHAR(10),"¤¤¤"),CHAR(10),"¤¤¤")</f>
        <v>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N88" s="12" t="str">
        <f t="shared" si="88"/>
        <v>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89" ht="14.25" customHeight="1">
      <c r="A89" s="5" t="s">
        <v>540</v>
      </c>
      <c r="B89" s="9" t="s">
        <v>541</v>
      </c>
      <c r="C89" s="9"/>
      <c r="D89" s="9" t="s">
        <v>527</v>
      </c>
      <c r="E89" s="7" t="s">
        <v>542</v>
      </c>
      <c r="F89" s="24" t="s">
        <v>543</v>
      </c>
      <c r="G89" s="9" t="s">
        <v>305</v>
      </c>
      <c r="H89" s="9" t="str">
        <f t="shared" si="2"/>
        <v>:)</v>
      </c>
      <c r="I89" s="21" t="b">
        <v>1</v>
      </c>
      <c r="J89" s="14" t="s">
        <v>544</v>
      </c>
      <c r="K89" s="14" t="s">
        <v>545</v>
      </c>
      <c r="L89" s="22" t="b">
        <v>0</v>
      </c>
      <c r="M89" s="12" t="str">
        <f t="shared" ref="M89:N89" si="89">SUBSTITUTE(SUBSTITUTE(E89,CHAR(13)&amp;CHAR(10),"¤¤¤"),CHAR(10),"¤¤¤")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N89" s="12" t="str">
        <f t="shared" si="89"/>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90" ht="14.25" customHeight="1">
      <c r="A90" s="5" t="s">
        <v>546</v>
      </c>
      <c r="B90" s="9" t="s">
        <v>547</v>
      </c>
      <c r="C90" s="9"/>
      <c r="D90" s="9" t="s">
        <v>527</v>
      </c>
      <c r="E90" s="13" t="s">
        <v>548</v>
      </c>
      <c r="F90" s="24" t="s">
        <v>549</v>
      </c>
      <c r="G90" s="9" t="s">
        <v>305</v>
      </c>
      <c r="H90" s="9" t="str">
        <f t="shared" si="2"/>
        <v>:)</v>
      </c>
      <c r="I90" s="21" t="b">
        <v>1</v>
      </c>
      <c r="J90" s="14" t="s">
        <v>550</v>
      </c>
      <c r="K90" s="14" t="s">
        <v>551</v>
      </c>
      <c r="L90" s="22" t="b">
        <v>0</v>
      </c>
      <c r="M90" s="12" t="str">
        <f t="shared" ref="M90:N90" si="90">SUBSTITUTE(SUBSTITUTE(E90,CHAR(13)&amp;CHAR(10),"¤¤¤"),CHAR(10),"¤¤¤")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N90" s="12" t="str">
        <f t="shared" si="90"/>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91" ht="14.25" customHeight="1">
      <c r="A91" s="5" t="s">
        <v>552</v>
      </c>
      <c r="B91" s="9" t="s">
        <v>553</v>
      </c>
      <c r="C91" s="9"/>
      <c r="D91" s="5" t="s">
        <v>534</v>
      </c>
      <c r="E91" s="13" t="s">
        <v>554</v>
      </c>
      <c r="F91" s="24" t="s">
        <v>555</v>
      </c>
      <c r="G91" s="9" t="s">
        <v>305</v>
      </c>
      <c r="H91" s="9" t="str">
        <f t="shared" si="2"/>
        <v>:)</v>
      </c>
      <c r="I91" s="10" t="b">
        <v>0</v>
      </c>
      <c r="J91" s="14" t="s">
        <v>556</v>
      </c>
      <c r="K91" s="14" t="s">
        <v>557</v>
      </c>
      <c r="L91" s="12" t="b">
        <v>0</v>
      </c>
      <c r="M91" s="12" t="str">
        <f t="shared" ref="M91:N91" si="91">SUBSTITUTE(SUBSTITUTE(E91,CHAR(13)&amp;CHAR(10),"¤¤¤"),CHAR(10),"¤¤¤")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N91" s="12" t="str">
        <f t="shared" si="91"/>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92" ht="14.25" customHeight="1">
      <c r="A92" s="5" t="s">
        <v>558</v>
      </c>
      <c r="B92" s="5" t="s">
        <v>559</v>
      </c>
      <c r="C92" s="5"/>
      <c r="D92" s="5" t="s">
        <v>560</v>
      </c>
      <c r="E92" s="7" t="s">
        <v>561</v>
      </c>
      <c r="F92" s="17" t="s">
        <v>562</v>
      </c>
      <c r="G92" s="9" t="s">
        <v>305</v>
      </c>
      <c r="H92" s="9" t="str">
        <f t="shared" si="2"/>
        <v>:)</v>
      </c>
      <c r="I92" s="10" t="b">
        <v>0</v>
      </c>
      <c r="J92" s="14" t="s">
        <v>563</v>
      </c>
      <c r="K92" s="14" t="s">
        <v>564</v>
      </c>
      <c r="L92" s="12" t="b">
        <v>0</v>
      </c>
      <c r="M92" s="12" t="str">
        <f t="shared" ref="M92:N92" si="92">SUBSTITUTE(SUBSTITUTE(E92,CHAR(13)&amp;CHAR(10),"¤¤¤"),CHAR(10),"¤¤¤")</f>
        <v>Ha végre itt a nyár és meleg az idő,¤¤¤az ember strandra jár, mert azért van itt ő.¤¤¤Míg anyu öltözik, az apu ideges,¤¤¤hogy olyan lassan készül el, hogy addigra este lesz.¤¤¤¤¤¤¤¤¤Ij jaj, úgy élvezem én a strandot,¤¤¤ottan annyira szép és jó,¤¤¤annyi vicceset látok, hallok,¤¤¤és még Bambi is kapható.¤¤¤La la la la, la la la la,¤¤¤La la la la, la la la.¤¤¤¤¤¤¤¤¤A strandon az is jó, hogy van még sok gyerek,¤¤¤és van homokozó és labdázni lehet.¤¤¤Csak azt nem értem én, sok néni miért visít,¤¤¤ha véletlen egy labda épp egy bácsira ráesik.¤¤¤¤¤¤¤¤¤Ij jaj...¤¤¤¤¤¤¤¤¤De apukámra is én azért ügyelek,¤¤¤és mindig odavisz a lelkiismeret.¤¤¤Ha fekszik a napon és izzad már szegény,¤¤¤kis vödröm vízzel megtöltöm, és rálocsolom mind én.¤¤¤¤¤¤¤¤¤Ij jaj...¤¤¤¤¤¤¤¤¤De este szomorú a hazafelé út,¤¤¤mert otthon az anyu a fürdőkádba dug.¤¤¤Már volt vele ezért már nagyon sok vitám,¤¤¤mert ki hallott még ilyen dolgot – fürdeni strand után?¤¤¤¤¤¤¤¤¤Otthon nem szeretem a strandot,¤¤¤abban semmi se szép, se jó.¤¤¤„Gyorsan mosdani” – mást se hallok,¤¤¤és még Bambi se kapható.¤¤¤Brü-hü-hü</v>
      </c>
      <c r="N92" s="12" t="str">
        <f t="shared" si="92"/>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ráesik¤¤¤¤¤¤Ij jaj¤¤¤¤¤¤G             G   G          D     D7          D    D          G¤¤¤De apukámra is én azért ügyelek és mindig odavisz a lelkiismeret¤¤¤    G         G       G7           C         C             G¤¤¤Ha fekszik a napon és izzad már szegény, kis vödröm vízzel megtöltöm és¤¤¤A                 D¤¤¤rálocsolom mind én¤¤¤¤¤¤¤¤¤Ij jaj¤¤¤¤¤¤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¤¤¤"Gyorsan mosdani" mást se hallok¤¤¤       D7            G¤¤¤És még bambi se kapható.  /Brü hü hü/</v>
      </c>
    </row>
    <row r="93" ht="14.25" customHeight="1">
      <c r="A93" s="5" t="s">
        <v>565</v>
      </c>
      <c r="B93" s="9" t="s">
        <v>566</v>
      </c>
      <c r="C93" s="9"/>
      <c r="D93" s="5" t="s">
        <v>567</v>
      </c>
      <c r="E93" s="7" t="s">
        <v>568</v>
      </c>
      <c r="F93" s="8" t="s">
        <v>569</v>
      </c>
      <c r="G93" s="9" t="s">
        <v>305</v>
      </c>
      <c r="H93" s="9" t="str">
        <f t="shared" si="2"/>
        <v>:)</v>
      </c>
      <c r="I93" s="10" t="b">
        <v>0</v>
      </c>
      <c r="J93" s="14" t="s">
        <v>570</v>
      </c>
      <c r="K93" s="14" t="s">
        <v>571</v>
      </c>
      <c r="L93" s="12" t="b">
        <v>0</v>
      </c>
      <c r="M93" s="12" t="str">
        <f t="shared" ref="M93:N93" si="93">SUBSTITUTE(SUBSTITUTE(E93,CHAR(13)&amp;CHAR(10),"¤¤¤"),CHAR(10),"¤¤¤")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N93" s="12" t="str">
        <f t="shared" si="93"/>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94" ht="14.25" customHeight="1">
      <c r="A94" s="5" t="s">
        <v>572</v>
      </c>
      <c r="B94" s="5" t="s">
        <v>573</v>
      </c>
      <c r="C94" s="5" t="s">
        <v>121</v>
      </c>
      <c r="D94" s="9" t="s">
        <v>574</v>
      </c>
      <c r="E94" s="7" t="s">
        <v>575</v>
      </c>
      <c r="F94" s="17" t="s">
        <v>576</v>
      </c>
      <c r="G94" s="9" t="s">
        <v>305</v>
      </c>
      <c r="H94" s="9" t="str">
        <f t="shared" si="2"/>
        <v>:)</v>
      </c>
      <c r="I94" s="10" t="b">
        <v>0</v>
      </c>
      <c r="J94" s="14" t="s">
        <v>577</v>
      </c>
      <c r="K94" s="14" t="s">
        <v>578</v>
      </c>
      <c r="L94" s="12" t="b">
        <v>0</v>
      </c>
      <c r="M94" s="12" t="str">
        <f t="shared" ref="M94:N94" si="94">SUBSTITUTE(SUBSTITUTE(E94,CHAR(13)&amp;CHAR(10),"¤¤¤"),CHAR(10),"¤¤¤")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N94" s="12" t="str">
        <f t="shared" si="94"/>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95" ht="14.25" customHeight="1">
      <c r="A95" s="5" t="s">
        <v>572</v>
      </c>
      <c r="B95" s="5" t="s">
        <v>573</v>
      </c>
      <c r="C95" s="20" t="s">
        <v>128</v>
      </c>
      <c r="D95" s="9" t="s">
        <v>574</v>
      </c>
      <c r="E95" s="7" t="s">
        <v>579</v>
      </c>
      <c r="F95" s="17" t="s">
        <v>580</v>
      </c>
      <c r="G95" s="9" t="s">
        <v>305</v>
      </c>
      <c r="H95" s="9" t="str">
        <f t="shared" si="2"/>
        <v>:)</v>
      </c>
      <c r="I95" s="10" t="b">
        <v>0</v>
      </c>
      <c r="J95" s="14" t="s">
        <v>577</v>
      </c>
      <c r="K95" s="14" t="s">
        <v>578</v>
      </c>
      <c r="L95" s="16" t="b">
        <v>1</v>
      </c>
      <c r="M95" s="12" t="str">
        <f t="shared" ref="M95:N95" si="95">SUBSTITUTE(SUBSTITUTE(E95,CHAR(13)&amp;CHAR(10),"¤¤¤"),CHAR(10),"¤¤¤")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N95" s="12" t="str">
        <f t="shared" si="95"/>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6" ht="14.25" customHeight="1">
      <c r="A96" s="5" t="s">
        <v>581</v>
      </c>
      <c r="B96" s="5" t="s">
        <v>582</v>
      </c>
      <c r="C96" s="5" t="s">
        <v>121</v>
      </c>
      <c r="D96" s="5" t="s">
        <v>583</v>
      </c>
      <c r="E96" s="7" t="s">
        <v>584</v>
      </c>
      <c r="F96" s="8" t="s">
        <v>585</v>
      </c>
      <c r="G96" s="9" t="s">
        <v>305</v>
      </c>
      <c r="H96" s="9" t="str">
        <f t="shared" si="2"/>
        <v>:)</v>
      </c>
      <c r="I96" s="10" t="b">
        <v>0</v>
      </c>
      <c r="J96" s="14" t="s">
        <v>586</v>
      </c>
      <c r="K96" s="14" t="s">
        <v>587</v>
      </c>
      <c r="L96" s="12" t="b">
        <v>0</v>
      </c>
      <c r="M96" s="12" t="str">
        <f t="shared" ref="M96:N96" si="96">SUBSTITUTE(SUBSTITUTE(E96,CHAR(13)&amp;CHAR(10),"¤¤¤"),CHAR(10),"¤¤¤")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v>
      </c>
      <c r="N96" s="12" t="str">
        <f t="shared" si="96"/>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v>
      </c>
    </row>
    <row r="97" ht="14.25" customHeight="1">
      <c r="A97" s="5" t="s">
        <v>581</v>
      </c>
      <c r="B97" s="5" t="s">
        <v>582</v>
      </c>
      <c r="C97" s="20" t="s">
        <v>128</v>
      </c>
      <c r="D97" s="5" t="s">
        <v>583</v>
      </c>
      <c r="E97" s="7" t="s">
        <v>588</v>
      </c>
      <c r="F97" s="8" t="s">
        <v>589</v>
      </c>
      <c r="G97" s="9" t="s">
        <v>305</v>
      </c>
      <c r="H97" s="9" t="str">
        <f t="shared" si="2"/>
        <v>:)</v>
      </c>
      <c r="I97" s="10" t="b">
        <v>0</v>
      </c>
      <c r="J97" s="14" t="s">
        <v>586</v>
      </c>
      <c r="K97" s="14" t="s">
        <v>590</v>
      </c>
      <c r="L97" s="16" t="b">
        <v>1</v>
      </c>
      <c r="M97" s="12" t="str">
        <f t="shared" ref="M97:N97" si="97">SUBSTITUTE(SUBSTITUTE(E97,CHAR(13)&amp;CHAR(10),"¤¤¤"),CHAR(10),"¤¤¤")</f>
        <v>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N97" s="12" t="str">
        <f t="shared" si="97"/>
        <v>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98" ht="14.25" customHeight="1">
      <c r="A98" s="5" t="s">
        <v>591</v>
      </c>
      <c r="B98" s="5" t="s">
        <v>592</v>
      </c>
      <c r="C98" s="5" t="s">
        <v>121</v>
      </c>
      <c r="D98" s="9" t="s">
        <v>593</v>
      </c>
      <c r="E98" s="7" t="s">
        <v>594</v>
      </c>
      <c r="F98" s="8" t="s">
        <v>595</v>
      </c>
      <c r="G98" s="9" t="s">
        <v>305</v>
      </c>
      <c r="H98" s="9" t="str">
        <f t="shared" si="2"/>
        <v>:)</v>
      </c>
      <c r="I98" s="10" t="b">
        <v>0</v>
      </c>
      <c r="J98" s="14" t="s">
        <v>596</v>
      </c>
      <c r="K98" s="14" t="s">
        <v>596</v>
      </c>
      <c r="L98" s="12" t="b">
        <v>0</v>
      </c>
      <c r="M98" s="12" t="str">
        <f t="shared" ref="M98:N98" si="98">SUBSTITUTE(SUBSTITUTE(E98,CHAR(13)&amp;CHAR(10),"¤¤¤"),CHAR(10),"¤¤¤")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
      </c>
      <c r="N98" s="12" t="str">
        <f t="shared" si="98"/>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99" ht="14.25" customHeight="1">
      <c r="A99" s="5" t="s">
        <v>591</v>
      </c>
      <c r="B99" s="5" t="s">
        <v>592</v>
      </c>
      <c r="C99" s="20" t="s">
        <v>128</v>
      </c>
      <c r="D99" s="9" t="s">
        <v>593</v>
      </c>
      <c r="E99" s="7" t="s">
        <v>597</v>
      </c>
      <c r="F99" s="8" t="s">
        <v>598</v>
      </c>
      <c r="G99" s="9" t="s">
        <v>305</v>
      </c>
      <c r="H99" s="9" t="str">
        <f t="shared" si="2"/>
        <v>:)</v>
      </c>
      <c r="I99" s="10" t="b">
        <v>0</v>
      </c>
      <c r="J99" s="14" t="s">
        <v>596</v>
      </c>
      <c r="K99" s="14" t="s">
        <v>596</v>
      </c>
      <c r="L99" s="16" t="b">
        <v>1</v>
      </c>
      <c r="M99" s="12" t="str">
        <f t="shared" ref="M99:N99" si="99">SUBSTITUTE(SUBSTITUTE(E99,CHAR(13)&amp;CHAR(10),"¤¤¤"),CHAR(10),"¤¤¤")</f>
        <v>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N99" s="12" t="str">
        <f t="shared" si="99"/>
        <v>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0" ht="14.25" customHeight="1">
      <c r="A100" s="5" t="s">
        <v>599</v>
      </c>
      <c r="B100" s="9" t="s">
        <v>600</v>
      </c>
      <c r="C100" s="9"/>
      <c r="D100" s="9" t="s">
        <v>593</v>
      </c>
      <c r="E100" s="13" t="s">
        <v>601</v>
      </c>
      <c r="F100" s="8" t="s">
        <v>602</v>
      </c>
      <c r="G100" s="9" t="s">
        <v>305</v>
      </c>
      <c r="H100" s="9" t="str">
        <f t="shared" si="2"/>
        <v>:)</v>
      </c>
      <c r="I100" s="10" t="b">
        <v>0</v>
      </c>
      <c r="J100" s="14" t="s">
        <v>603</v>
      </c>
      <c r="K100" s="14" t="s">
        <v>604</v>
      </c>
      <c r="L100" s="12" t="b">
        <v>0</v>
      </c>
      <c r="M100" s="12" t="str">
        <f t="shared" ref="M100:N100" si="100">SUBSTITUTE(SUBSTITUTE(E100,CHAR(13)&amp;CHAR(10),"¤¤¤"),CHAR(10),"¤¤¤")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N100" s="12" t="str">
        <f t="shared" si="100"/>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101" ht="14.25" customHeight="1">
      <c r="A101" s="5" t="s">
        <v>605</v>
      </c>
      <c r="B101" s="9" t="s">
        <v>606</v>
      </c>
      <c r="C101" s="9"/>
      <c r="D101" s="9" t="s">
        <v>607</v>
      </c>
      <c r="E101" s="7" t="s">
        <v>608</v>
      </c>
      <c r="F101" s="17" t="s">
        <v>609</v>
      </c>
      <c r="G101" s="9" t="s">
        <v>305</v>
      </c>
      <c r="H101" s="9" t="str">
        <f t="shared" si="2"/>
        <v>:)</v>
      </c>
      <c r="I101" s="10" t="b">
        <v>0</v>
      </c>
      <c r="J101" s="14" t="s">
        <v>610</v>
      </c>
      <c r="K101" s="14" t="s">
        <v>611</v>
      </c>
      <c r="L101" s="12" t="b">
        <v>0</v>
      </c>
      <c r="M101" s="12" t="str">
        <f t="shared" ref="M101:N101" si="101">SUBSTITUTE(SUBSTITUTE(E101,CHAR(13)&amp;CHAR(10),"¤¤¤"),CHAR(10),"¤¤¤")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N101" s="12" t="str">
        <f t="shared" si="101"/>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102" ht="14.25" customHeight="1">
      <c r="A102" s="5" t="s">
        <v>612</v>
      </c>
      <c r="B102" s="5" t="s">
        <v>613</v>
      </c>
      <c r="C102" s="5" t="s">
        <v>121</v>
      </c>
      <c r="D102" s="9" t="s">
        <v>614</v>
      </c>
      <c r="E102" s="7" t="s">
        <v>615</v>
      </c>
      <c r="F102" s="8" t="s">
        <v>616</v>
      </c>
      <c r="G102" s="9" t="s">
        <v>305</v>
      </c>
      <c r="H102" s="9" t="str">
        <f t="shared" si="2"/>
        <v>:)</v>
      </c>
      <c r="I102" s="10" t="b">
        <v>0</v>
      </c>
      <c r="J102" s="14" t="s">
        <v>617</v>
      </c>
      <c r="L102" s="12" t="b">
        <v>0</v>
      </c>
      <c r="M102" s="12" t="str">
        <f t="shared" ref="M102:N102" si="102">SUBSTITUTE(SUBSTITUTE(E102,CHAR(13)&amp;CHAR(10),"¤¤¤"),CHAR(10),"¤¤¤")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N102" s="12" t="str">
        <f t="shared" si="102"/>
        <v>     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103" ht="14.25" customHeight="1">
      <c r="A103" s="5" t="s">
        <v>612</v>
      </c>
      <c r="B103" s="5" t="s">
        <v>613</v>
      </c>
      <c r="C103" s="20" t="s">
        <v>128</v>
      </c>
      <c r="D103" s="9" t="s">
        <v>614</v>
      </c>
      <c r="E103" s="7" t="s">
        <v>618</v>
      </c>
      <c r="F103" s="8" t="s">
        <v>619</v>
      </c>
      <c r="G103" s="9" t="s">
        <v>305</v>
      </c>
      <c r="H103" s="9" t="str">
        <f t="shared" si="2"/>
        <v>:)</v>
      </c>
      <c r="I103" s="10" t="b">
        <v>0</v>
      </c>
      <c r="J103" s="14" t="s">
        <v>617</v>
      </c>
      <c r="L103" s="16" t="b">
        <v>1</v>
      </c>
      <c r="M103" s="12" t="str">
        <f t="shared" ref="M103:N103" si="103">SUBSTITUTE(SUBSTITUTE(E103,CHAR(13)&amp;CHAR(10),"¤¤¤"),CHAR(10),"¤¤¤")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N103" s="12" t="str">
        <f t="shared" si="103"/>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104" ht="14.25" customHeight="1">
      <c r="A104" s="5" t="s">
        <v>620</v>
      </c>
      <c r="B104" s="9" t="s">
        <v>621</v>
      </c>
      <c r="C104" s="9"/>
      <c r="D104" s="9" t="s">
        <v>622</v>
      </c>
      <c r="E104" s="13" t="s">
        <v>623</v>
      </c>
      <c r="F104" s="24" t="s">
        <v>624</v>
      </c>
      <c r="G104" s="9" t="s">
        <v>305</v>
      </c>
      <c r="H104" s="9" t="str">
        <f t="shared" si="2"/>
        <v>:)</v>
      </c>
      <c r="I104" s="10" t="b">
        <v>0</v>
      </c>
      <c r="J104" s="14" t="s">
        <v>625</v>
      </c>
      <c r="K104" s="14" t="s">
        <v>626</v>
      </c>
      <c r="L104" s="12" t="b">
        <v>0</v>
      </c>
      <c r="M104" s="12" t="str">
        <f t="shared" ref="M104:N104" si="104">SUBSTITUTE(SUBSTITUTE(E104,CHAR(13)&amp;CHAR(10),"¤¤¤"),CHAR(10),"¤¤¤")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N104" s="12" t="str">
        <f t="shared" si="104"/>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105" ht="14.25" customHeight="1">
      <c r="A105" s="5" t="s">
        <v>627</v>
      </c>
      <c r="B105" s="9" t="s">
        <v>628</v>
      </c>
      <c r="C105" s="9"/>
      <c r="D105" s="9" t="s">
        <v>622</v>
      </c>
      <c r="E105" s="13" t="s">
        <v>629</v>
      </c>
      <c r="F105" s="24" t="s">
        <v>630</v>
      </c>
      <c r="G105" s="9" t="s">
        <v>305</v>
      </c>
      <c r="H105" s="9" t="str">
        <f t="shared" si="2"/>
        <v>:)</v>
      </c>
      <c r="I105" s="10" t="b">
        <v>0</v>
      </c>
      <c r="J105" s="14" t="s">
        <v>631</v>
      </c>
      <c r="K105" s="14" t="s">
        <v>632</v>
      </c>
      <c r="L105" s="12" t="b">
        <v>0</v>
      </c>
      <c r="M105" s="12" t="str">
        <f t="shared" ref="M105:N105" si="105">SUBSTITUTE(SUBSTITUTE(E105,CHAR(13)&amp;CHAR(10),"¤¤¤"),CHAR(10),"¤¤¤")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N105" s="12" t="str">
        <f t="shared" si="105"/>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106" ht="14.25" customHeight="1">
      <c r="A106" s="5" t="s">
        <v>633</v>
      </c>
      <c r="B106" s="9" t="s">
        <v>634</v>
      </c>
      <c r="C106" s="5" t="s">
        <v>121</v>
      </c>
      <c r="D106" s="9" t="s">
        <v>622</v>
      </c>
      <c r="E106" s="7" t="s">
        <v>635</v>
      </c>
      <c r="F106" s="17" t="s">
        <v>636</v>
      </c>
      <c r="G106" s="9" t="s">
        <v>305</v>
      </c>
      <c r="H106" s="9" t="str">
        <f t="shared" si="2"/>
        <v>:)</v>
      </c>
      <c r="I106" s="10" t="b">
        <v>0</v>
      </c>
      <c r="J106" s="14" t="s">
        <v>637</v>
      </c>
      <c r="K106" s="14" t="s">
        <v>638</v>
      </c>
      <c r="L106" s="12" t="b">
        <v>0</v>
      </c>
      <c r="M106" s="12" t="str">
        <f t="shared" ref="M106:N106" si="106">SUBSTITUTE(SUBSTITUTE(E106,CHAR(13)&amp;CHAR(10),"¤¤¤"),CHAR(10),"¤¤¤")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v>
      </c>
      <c r="N106" s="12" t="str">
        <f t="shared" si="106"/>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v>
      </c>
    </row>
    <row r="107" ht="14.25" customHeight="1">
      <c r="A107" s="5" t="s">
        <v>633</v>
      </c>
      <c r="B107" s="9" t="s">
        <v>634</v>
      </c>
      <c r="C107" s="20" t="s">
        <v>128</v>
      </c>
      <c r="D107" s="9" t="s">
        <v>622</v>
      </c>
      <c r="E107" s="7" t="s">
        <v>639</v>
      </c>
      <c r="F107" s="17" t="s">
        <v>640</v>
      </c>
      <c r="G107" s="9" t="s">
        <v>305</v>
      </c>
      <c r="H107" s="9" t="str">
        <f t="shared" si="2"/>
        <v>:)</v>
      </c>
      <c r="I107" s="10" t="b">
        <v>0</v>
      </c>
      <c r="J107" s="11" t="s">
        <v>637</v>
      </c>
      <c r="K107" s="14" t="s">
        <v>638</v>
      </c>
      <c r="L107" s="16" t="b">
        <v>1</v>
      </c>
      <c r="M107" s="12" t="str">
        <f t="shared" ref="M107:N107" si="107">SUBSTITUTE(SUBSTITUTE(E107,CHAR(13)&amp;CHAR(10),"¤¤¤"),CHAR(10),"¤¤¤")</f>
        <v>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N107" s="12" t="str">
        <f t="shared" si="107"/>
        <v>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108" ht="14.25" customHeight="1">
      <c r="A108" s="5" t="s">
        <v>641</v>
      </c>
      <c r="B108" s="5" t="s">
        <v>642</v>
      </c>
      <c r="C108" s="5" t="s">
        <v>121</v>
      </c>
      <c r="D108" s="9" t="s">
        <v>643</v>
      </c>
      <c r="E108" s="7" t="s">
        <v>644</v>
      </c>
      <c r="F108" s="8" t="s">
        <v>645</v>
      </c>
      <c r="G108" s="9" t="s">
        <v>305</v>
      </c>
      <c r="H108" s="9" t="str">
        <f t="shared" si="2"/>
        <v>:)</v>
      </c>
      <c r="I108" s="10" t="b">
        <v>0</v>
      </c>
      <c r="J108" s="11" t="s">
        <v>646</v>
      </c>
      <c r="K108" s="14" t="s">
        <v>647</v>
      </c>
      <c r="L108" s="12" t="b">
        <v>0</v>
      </c>
      <c r="M108" s="12" t="str">
        <f t="shared" ref="M108:N108" si="108">SUBSTITUTE(SUBSTITUTE(E108,CHAR(13)&amp;CHAR(10),"¤¤¤"),CHAR(10),"¤¤¤")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N108" s="12" t="str">
        <f t="shared" si="108"/>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09" ht="14.25" customHeight="1">
      <c r="A109" s="5" t="s">
        <v>641</v>
      </c>
      <c r="B109" s="5" t="s">
        <v>642</v>
      </c>
      <c r="C109" s="20" t="s">
        <v>128</v>
      </c>
      <c r="D109" s="9" t="s">
        <v>643</v>
      </c>
      <c r="E109" s="7" t="s">
        <v>648</v>
      </c>
      <c r="F109" s="8" t="s">
        <v>649</v>
      </c>
      <c r="G109" s="9" t="s">
        <v>305</v>
      </c>
      <c r="H109" s="9" t="str">
        <f t="shared" si="2"/>
        <v>:)</v>
      </c>
      <c r="I109" s="10" t="b">
        <v>0</v>
      </c>
      <c r="J109" s="14" t="s">
        <v>646</v>
      </c>
      <c r="K109" s="14" t="s">
        <v>650</v>
      </c>
      <c r="L109" s="16" t="b">
        <v>1</v>
      </c>
      <c r="M109" s="12" t="str">
        <f t="shared" ref="M109:N109" si="109">SUBSTITUTE(SUBSTITUTE(E109,CHAR(13)&amp;CHAR(10),"¤¤¤"),CHAR(10),"¤¤¤")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N109" s="12" t="str">
        <f t="shared" si="109"/>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10" ht="14.25" customHeight="1">
      <c r="A110" s="5" t="s">
        <v>651</v>
      </c>
      <c r="B110" s="5" t="s">
        <v>652</v>
      </c>
      <c r="C110" s="5" t="s">
        <v>121</v>
      </c>
      <c r="D110" s="9" t="s">
        <v>653</v>
      </c>
      <c r="E110" s="7" t="s">
        <v>654</v>
      </c>
      <c r="F110" s="8" t="s">
        <v>655</v>
      </c>
      <c r="G110" s="9" t="s">
        <v>305</v>
      </c>
      <c r="H110" s="9" t="str">
        <f t="shared" si="2"/>
        <v>:)</v>
      </c>
      <c r="I110" s="10" t="b">
        <v>0</v>
      </c>
      <c r="J110" s="14" t="s">
        <v>656</v>
      </c>
      <c r="K110" s="14" t="s">
        <v>657</v>
      </c>
      <c r="L110" s="16" t="b">
        <v>0</v>
      </c>
      <c r="M110" s="12" t="str">
        <f t="shared" ref="M110:N110" si="110">SUBSTITUTE(SUBSTITUTE(E110,CHAR(13)&amp;CHAR(10),"¤¤¤"),CHAR(10),"¤¤¤")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v>
      </c>
      <c r="N110" s="12" t="str">
        <f t="shared" si="110"/>
        <v>Am    E       Am       E¤¤¤Végre elmúlt, ennek is vége,¤¤¤   Am            C      E¤¤¤Az iskola udvara üresen áll¤¤¤Am      E      Am        E¤¤¤Vége az évnek, pont ez a lényeg,¤¤¤  Am                   C        E¤¤¤A csomagom kész van, a küszöbön áll.¤¤¤¤¤¤¤¤¤C              G¤¤¤Oly nehéz most jónak lenni,¤¤¤C             G¤¤¤El sem tudnád képzelni,                    ¤¤¤C                 G¤¤¤Annyi mindent meg kell tenni    ¤¤¤   Am               G     Am¤¤¤De nem ígérem, hogy jó leszek¤¤¤¤¤¤¤¤¤Am    E     Am         E¤¤¤Semmi jóból most ki ne hagyjál,   ¤¤¤Am              C       E         ¤¤¤Nem tart soká a hetedik nyár,¤¤¤Am   E     Am        E¤¤¤Néha durva volt is a játék,           ¤¤¤Am               C        E¤¤¤Nem mutattam, de nekem is fáj.¤¤¤¤¤¤¤¤¤C              G¤¤¤Oly nehéz most jónak lenni,¤¤¤C             G¤¤¤El sem tudnád képzelni,                    ¤¤¤C                 G¤¤¤Annyi mindent meg kell tenni    ¤¤¤   Am               G     Am¤¤¤De nem ígérem, hogy jó leszek</v>
      </c>
    </row>
    <row r="111" ht="14.25" customHeight="1">
      <c r="A111" s="5" t="s">
        <v>651</v>
      </c>
      <c r="B111" s="5" t="s">
        <v>652</v>
      </c>
      <c r="C111" s="20" t="s">
        <v>128</v>
      </c>
      <c r="D111" s="9" t="s">
        <v>653</v>
      </c>
      <c r="E111" s="7" t="s">
        <v>658</v>
      </c>
      <c r="F111" s="8" t="s">
        <v>659</v>
      </c>
      <c r="G111" s="9" t="s">
        <v>305</v>
      </c>
      <c r="H111" s="9" t="str">
        <f t="shared" si="2"/>
        <v>:)</v>
      </c>
      <c r="I111" s="10" t="b">
        <v>0</v>
      </c>
      <c r="J111" s="14" t="s">
        <v>656</v>
      </c>
      <c r="K111" s="14" t="s">
        <v>660</v>
      </c>
      <c r="L111" s="16" t="b">
        <v>1</v>
      </c>
      <c r="M111" s="12" t="str">
        <f t="shared" ref="M111:N111" si="111">SUBSTITUTE(SUBSTITUTE(E111,CHAR(13)&amp;CHAR(10),"¤¤¤"),CHAR(10),"¤¤¤")</f>
        <v>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N111" s="12" t="str">
        <f t="shared" si="111"/>
        <v>Am                Am¤¤¤Az az egy fontos: legyetek jók most,         ¤¤¤Am                     E¤¤¤Már nem kell túl sok a holnaphoz;                                              ¤¤¤       C                   E¤¤¤Legyen szebb most nekünk a játék,                 ¤¤¤Am       E      Am¤¤¤Legalább egyszer még!¤¤¤¤¤¤¤¤¤Am    C              G¤¤¤Ugye tényleg nem fog fájni,¤¤¤G       Dm            C¤¤¤Ha majd végre nagy leszek,                               ¤¤¤C                  G¤¤¤Ugye másképp fogom gondolni,               ¤¤¤Am        G          Am¤¤¤Azt, hogy milyenek a felnőttek?¤¤¤¤¤¤¤¤¤Am                Am¤¤¤Az az egy fontos: legyetek jók most,         ¤¤¤Am                     E¤¤¤Már nem kell túl sok a holnaphoz;                                              ¤¤¤       C                   E¤¤¤Legyen szebb most nekünk a játék,                 ¤¤¤Am       E      Am¤¤¤Legalább egyszer még!</v>
      </c>
    </row>
    <row r="112" ht="14.25" customHeight="1">
      <c r="A112" s="5" t="s">
        <v>661</v>
      </c>
      <c r="B112" s="9" t="s">
        <v>662</v>
      </c>
      <c r="C112" s="5" t="s">
        <v>121</v>
      </c>
      <c r="D112" s="9" t="s">
        <v>663</v>
      </c>
      <c r="E112" s="7" t="s">
        <v>664</v>
      </c>
      <c r="F112" s="17" t="s">
        <v>665</v>
      </c>
      <c r="G112" s="9" t="s">
        <v>305</v>
      </c>
      <c r="H112" s="9" t="str">
        <f t="shared" si="2"/>
        <v>:)</v>
      </c>
      <c r="I112" s="10" t="b">
        <v>0</v>
      </c>
      <c r="J112" s="14" t="s">
        <v>666</v>
      </c>
      <c r="K112" s="14" t="s">
        <v>667</v>
      </c>
      <c r="L112" s="12" t="b">
        <v>0</v>
      </c>
      <c r="M112" s="12" t="str">
        <f t="shared" ref="M112:N112" si="112">SUBSTITUTE(SUBSTITUTE(E112,CHAR(13)&amp;CHAR(10),"¤¤¤"),CHAR(10),"¤¤¤")</f>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v>
      </c>
      <c r="N112" s="12" t="str">
        <f t="shared" si="112"/>
        <v>Em C G D x2¤¤¤¤¤¤¤¤¤Em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13" ht="14.25" customHeight="1">
      <c r="A113" s="5" t="s">
        <v>661</v>
      </c>
      <c r="B113" s="9" t="s">
        <v>662</v>
      </c>
      <c r="C113" s="20" t="s">
        <v>128</v>
      </c>
      <c r="D113" s="9" t="s">
        <v>663</v>
      </c>
      <c r="E113" s="7" t="s">
        <v>668</v>
      </c>
      <c r="F113" s="17" t="s">
        <v>669</v>
      </c>
      <c r="G113" s="9" t="s">
        <v>305</v>
      </c>
      <c r="H113" s="9" t="str">
        <f t="shared" si="2"/>
        <v>:)</v>
      </c>
      <c r="I113" s="10" t="b">
        <v>0</v>
      </c>
      <c r="J113" s="14" t="s">
        <v>666</v>
      </c>
      <c r="K113" s="14" t="s">
        <v>667</v>
      </c>
      <c r="L113" s="12" t="b">
        <v>0</v>
      </c>
      <c r="M113" s="12" t="str">
        <f t="shared" ref="M113:N113" si="113">SUBSTITUTE(SUBSTITUTE(E113,CHAR(13)&amp;CHAR(10),"¤¤¤"),CHAR(10),"¤¤¤")</f>
        <v>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N113" s="12" t="str">
        <f t="shared" si="113"/>
        <v>Em            C              G¤¤¤  Lekéstem a gépemet, nem megyek,¤¤¤      D                 Em¤¤¤  Nem megyek én már haza.¤¤¤              C              G¤¤¤  Lekéstem a gépemet, nem megyek,¤¤¤               D         Em    C                   G¤¤¤  Csak dúdolom azt, hogy jó jó jó jó jó jó de jó nekem,¤¤¤D          Em    C           G¤¤¤  Azt hogy jó jó jó jó de jó nekem,¤¤¤     D¤¤¤  Jó nekem.¤¤¤ ¤¤¤¤¤¤Em             C                  G¤¤¤  Reggel mikor kinéztem és láttam,¤¤¤            D                 Em¤¤¤  De sajnos szemembe sütött a Nap.¤¤¤               C               G¤¤¤  Reggel mikor kinéztem és láttam,¤¤¤            D                 Em¤¤¤  De sajnos szemembe sütött a Nap.¤¤¤ ¤¤¤¤¤¤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14" ht="14.25" customHeight="1">
      <c r="A114" s="5" t="s">
        <v>670</v>
      </c>
      <c r="B114" s="9" t="s">
        <v>173</v>
      </c>
      <c r="C114" s="5" t="s">
        <v>121</v>
      </c>
      <c r="D114" s="9" t="s">
        <v>174</v>
      </c>
      <c r="E114" s="7" t="s">
        <v>671</v>
      </c>
      <c r="F114" s="8" t="s">
        <v>672</v>
      </c>
      <c r="G114" s="9" t="s">
        <v>305</v>
      </c>
      <c r="H114" s="9" t="str">
        <f t="shared" si="2"/>
        <v>:)</v>
      </c>
      <c r="I114" s="21" t="b">
        <v>1</v>
      </c>
      <c r="J114" s="14" t="s">
        <v>673</v>
      </c>
      <c r="K114" s="14" t="s">
        <v>178</v>
      </c>
      <c r="L114" s="22" t="b">
        <v>0</v>
      </c>
      <c r="M114" s="12" t="str">
        <f t="shared" ref="M114:N114" si="114">SUBSTITUTE(SUBSTITUTE(E114,CHAR(13)&amp;CHAR(10),"¤¤¤"),CHAR(10),"¤¤¤")</f>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v>
      </c>
      <c r="N114" s="12" t="str">
        <f t="shared" si="114"/>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v>
      </c>
    </row>
    <row r="115" ht="14.25" customHeight="1">
      <c r="A115" s="5" t="s">
        <v>670</v>
      </c>
      <c r="B115" s="9" t="s">
        <v>173</v>
      </c>
      <c r="C115" s="20" t="s">
        <v>128</v>
      </c>
      <c r="D115" s="9" t="s">
        <v>174</v>
      </c>
      <c r="E115" s="7" t="s">
        <v>674</v>
      </c>
      <c r="F115" s="8" t="s">
        <v>675</v>
      </c>
      <c r="G115" s="9" t="s">
        <v>305</v>
      </c>
      <c r="H115" s="9" t="str">
        <f t="shared" si="2"/>
        <v>:)</v>
      </c>
      <c r="I115" s="21" t="b">
        <v>1</v>
      </c>
      <c r="J115" s="14" t="s">
        <v>673</v>
      </c>
      <c r="K115" s="14" t="s">
        <v>178</v>
      </c>
      <c r="L115" s="22" t="b">
        <v>0</v>
      </c>
      <c r="M115" s="12" t="str">
        <f t="shared" ref="M115:N115" si="115">SUBSTITUTE(SUBSTITUTE(E115,CHAR(13)&amp;CHAR(10),"¤¤¤"),CHAR(10),"¤¤¤")</f>
        <v>A hegyvidéken temess el engem,¤¤¤Ó bella ciao, bella ciao, bella ciao, ciao, ciao,¤¤¤A hegyvidéken temess el engem,¤¤¤Legyen virág a síromon.¤¤¤¤¤¤Az ő virága, a partizáné,¤¤¤Ó bella ciao, bella ciao, bella ciao, ciao, ciao,¤¤¤Az ő virága, a partizáné,¤¤¤Ki a szabadságért halt meg.</v>
      </c>
      <c r="N115" s="12" t="str">
        <f t="shared" si="115"/>
        <v>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16" ht="14.25" customHeight="1">
      <c r="A116" s="5" t="s">
        <v>676</v>
      </c>
      <c r="B116" s="9" t="s">
        <v>677</v>
      </c>
      <c r="C116" s="9"/>
      <c r="D116" s="9" t="s">
        <v>678</v>
      </c>
      <c r="E116" s="13" t="s">
        <v>679</v>
      </c>
      <c r="F116" s="8" t="s">
        <v>680</v>
      </c>
      <c r="G116" s="9" t="s">
        <v>305</v>
      </c>
      <c r="H116" s="9" t="str">
        <f t="shared" si="2"/>
        <v>:)</v>
      </c>
      <c r="I116" s="10" t="b">
        <v>0</v>
      </c>
      <c r="J116" s="14" t="s">
        <v>681</v>
      </c>
      <c r="K116" s="14" t="s">
        <v>682</v>
      </c>
      <c r="L116" s="12" t="b">
        <v>0</v>
      </c>
      <c r="M116" s="12" t="str">
        <f t="shared" ref="M116:N116" si="116">SUBSTITUTE(SUBSTITUTE(E116,CHAR(13)&amp;CHAR(10),"¤¤¤"),CHAR(10),"¤¤¤")</f>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N116" s="12" t="str">
        <f t="shared" si="116"/>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17" ht="14.25" customHeight="1">
      <c r="A117" s="5" t="s">
        <v>683</v>
      </c>
      <c r="B117" s="9" t="s">
        <v>684</v>
      </c>
      <c r="C117" s="9"/>
      <c r="D117" s="9" t="s">
        <v>685</v>
      </c>
      <c r="E117" s="7" t="s">
        <v>686</v>
      </c>
      <c r="F117" s="8" t="s">
        <v>687</v>
      </c>
      <c r="G117" s="9" t="s">
        <v>305</v>
      </c>
      <c r="H117" s="9" t="str">
        <f t="shared" si="2"/>
        <v>:)</v>
      </c>
      <c r="I117" s="21" t="b">
        <v>1</v>
      </c>
      <c r="J117" s="14" t="s">
        <v>688</v>
      </c>
      <c r="K117" s="14" t="s">
        <v>688</v>
      </c>
      <c r="L117" s="22" t="b">
        <v>0</v>
      </c>
      <c r="M117" s="12" t="str">
        <f t="shared" ref="M117:N117" si="117">SUBSTITUTE(SUBSTITUTE(E117,CHAR(13)&amp;CHAR(10),"¤¤¤"),CHAR(10),"¤¤¤")</f>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N117" s="12" t="str">
        <f t="shared" si="117"/>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18" ht="14.25" customHeight="1">
      <c r="A118" s="5" t="s">
        <v>689</v>
      </c>
      <c r="B118" s="5" t="s">
        <v>690</v>
      </c>
      <c r="C118" s="5"/>
      <c r="D118" s="9" t="s">
        <v>691</v>
      </c>
      <c r="E118" s="7" t="s">
        <v>692</v>
      </c>
      <c r="F118" s="24" t="s">
        <v>693</v>
      </c>
      <c r="G118" s="9" t="s">
        <v>305</v>
      </c>
      <c r="H118" s="9" t="str">
        <f t="shared" si="2"/>
        <v>:)</v>
      </c>
      <c r="I118" s="21" t="b">
        <v>1</v>
      </c>
      <c r="J118" s="14" t="s">
        <v>694</v>
      </c>
      <c r="K118" s="16" t="s">
        <v>76</v>
      </c>
      <c r="L118" s="22" t="b">
        <v>0</v>
      </c>
      <c r="M118" s="12" t="str">
        <f t="shared" ref="M118:N118" si="118">SUBSTITUTE(SUBSTITUTE(E118,CHAR(13)&amp;CHAR(10),"¤¤¤"),CHAR(10),"¤¤¤")</f>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N118" s="12" t="str">
        <f t="shared" si="118"/>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19" ht="14.25" customHeight="1">
      <c r="A119" s="5" t="s">
        <v>695</v>
      </c>
      <c r="B119" s="9" t="s">
        <v>696</v>
      </c>
      <c r="C119" s="9"/>
      <c r="D119" s="9" t="s">
        <v>697</v>
      </c>
      <c r="E119" s="7" t="s">
        <v>698</v>
      </c>
      <c r="F119" s="8" t="s">
        <v>699</v>
      </c>
      <c r="G119" s="9" t="s">
        <v>305</v>
      </c>
      <c r="H119" s="9" t="str">
        <f t="shared" si="2"/>
        <v>:)</v>
      </c>
      <c r="I119" s="10" t="b">
        <v>0</v>
      </c>
      <c r="J119" s="14" t="s">
        <v>700</v>
      </c>
      <c r="K119" s="14" t="s">
        <v>701</v>
      </c>
      <c r="L119" s="12" t="b">
        <v>0</v>
      </c>
      <c r="M119" s="12" t="str">
        <f t="shared" ref="M119:N119" si="119">SUBSTITUTE(SUBSTITUTE(E119,CHAR(13)&amp;CHAR(10),"¤¤¤"),CHAR(10),"¤¤¤")</f>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N119" s="12" t="str">
        <f t="shared" si="119"/>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20" ht="14.25" customHeight="1">
      <c r="A120" s="5" t="s">
        <v>702</v>
      </c>
      <c r="B120" s="9" t="s">
        <v>703</v>
      </c>
      <c r="C120" s="9"/>
      <c r="D120" s="9" t="s">
        <v>704</v>
      </c>
      <c r="E120" s="7" t="s">
        <v>705</v>
      </c>
      <c r="F120" s="8" t="s">
        <v>706</v>
      </c>
      <c r="G120" s="9" t="s">
        <v>305</v>
      </c>
      <c r="H120" s="9" t="str">
        <f t="shared" si="2"/>
        <v>:)</v>
      </c>
      <c r="I120" s="10" t="b">
        <v>0</v>
      </c>
      <c r="J120" s="14" t="s">
        <v>707</v>
      </c>
      <c r="L120" s="12" t="b">
        <v>0</v>
      </c>
      <c r="M120" s="12" t="str">
        <f t="shared" ref="M120:N120" si="120">SUBSTITUTE(SUBSTITUTE(E120,CHAR(13)&amp;CHAR(10),"¤¤¤"),CHAR(10),"¤¤¤")</f>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N120" s="12" t="str">
        <f t="shared" si="120"/>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21" ht="15.0" customHeight="1">
      <c r="A121" s="5" t="s">
        <v>708</v>
      </c>
      <c r="B121" s="9" t="s">
        <v>709</v>
      </c>
      <c r="C121" s="9"/>
      <c r="D121" s="9" t="s">
        <v>704</v>
      </c>
      <c r="E121" s="13" t="s">
        <v>710</v>
      </c>
      <c r="F121" s="8" t="s">
        <v>711</v>
      </c>
      <c r="G121" s="9" t="s">
        <v>305</v>
      </c>
      <c r="H121" s="9" t="str">
        <f t="shared" si="2"/>
        <v>:)</v>
      </c>
      <c r="I121" s="10" t="b">
        <v>0</v>
      </c>
      <c r="J121" s="14" t="s">
        <v>712</v>
      </c>
      <c r="K121" s="14" t="s">
        <v>713</v>
      </c>
      <c r="L121" s="12" t="b">
        <v>0</v>
      </c>
      <c r="M121" s="12" t="str">
        <f t="shared" ref="M121:N121" si="121">SUBSTITUTE(SUBSTITUTE(E121,CHAR(13)&amp;CHAR(10),"¤¤¤"),CHAR(10),"¤¤¤")</f>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N121" s="12" t="str">
        <f t="shared" si="121"/>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22" ht="15.0" customHeight="1">
      <c r="A122" s="5" t="s">
        <v>714</v>
      </c>
      <c r="B122" s="5" t="s">
        <v>715</v>
      </c>
      <c r="C122" s="5"/>
      <c r="D122" s="9" t="s">
        <v>704</v>
      </c>
      <c r="E122" s="13" t="s">
        <v>716</v>
      </c>
      <c r="F122" s="8" t="s">
        <v>717</v>
      </c>
      <c r="G122" s="9" t="s">
        <v>305</v>
      </c>
      <c r="H122" s="9" t="str">
        <f t="shared" si="2"/>
        <v>:)</v>
      </c>
      <c r="I122" s="10" t="b">
        <v>0</v>
      </c>
      <c r="J122" s="14" t="s">
        <v>718</v>
      </c>
      <c r="K122" s="14" t="s">
        <v>719</v>
      </c>
      <c r="L122" s="12" t="b">
        <v>0</v>
      </c>
      <c r="M122" s="12" t="str">
        <f t="shared" ref="M122:N122" si="122">SUBSTITUTE(SUBSTITUTE(E122,CHAR(13)&amp;CHAR(10),"¤¤¤"),CHAR(10),"¤¤¤")</f>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N122" s="12" t="str">
        <f t="shared" si="122"/>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23" ht="15.0" customHeight="1">
      <c r="A123" s="5" t="s">
        <v>720</v>
      </c>
      <c r="B123" s="9" t="s">
        <v>721</v>
      </c>
      <c r="C123" s="9"/>
      <c r="D123" s="9" t="s">
        <v>704</v>
      </c>
      <c r="E123" s="13" t="s">
        <v>722</v>
      </c>
      <c r="F123" s="8" t="s">
        <v>723</v>
      </c>
      <c r="G123" s="9" t="s">
        <v>305</v>
      </c>
      <c r="H123" s="9" t="str">
        <f t="shared" si="2"/>
        <v>:)</v>
      </c>
      <c r="I123" s="10" t="b">
        <v>0</v>
      </c>
      <c r="J123" s="14" t="s">
        <v>724</v>
      </c>
      <c r="K123" s="14" t="s">
        <v>725</v>
      </c>
      <c r="L123" s="12" t="b">
        <v>0</v>
      </c>
      <c r="M123" s="12" t="str">
        <f t="shared" ref="M123:N123" si="123">SUBSTITUTE(SUBSTITUTE(E123,CHAR(13)&amp;CHAR(10),"¤¤¤"),CHAR(10),"¤¤¤")</f>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N123" s="12" t="str">
        <f t="shared" si="12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24" ht="15.0" customHeight="1">
      <c r="A124" s="5" t="s">
        <v>726</v>
      </c>
      <c r="B124" s="9" t="s">
        <v>727</v>
      </c>
      <c r="C124" s="9"/>
      <c r="D124" s="9" t="s">
        <v>728</v>
      </c>
      <c r="E124" s="13" t="s">
        <v>729</v>
      </c>
      <c r="F124" s="8" t="s">
        <v>730</v>
      </c>
      <c r="G124" s="9" t="s">
        <v>305</v>
      </c>
      <c r="H124" s="9" t="str">
        <f t="shared" si="2"/>
        <v>:)</v>
      </c>
      <c r="I124" s="10" t="b">
        <v>0</v>
      </c>
      <c r="J124" s="14" t="s">
        <v>731</v>
      </c>
      <c r="K124" s="14" t="s">
        <v>732</v>
      </c>
      <c r="L124" s="12" t="b">
        <v>0</v>
      </c>
      <c r="M124" s="12" t="str">
        <f t="shared" ref="M124:N124" si="124">SUBSTITUTE(SUBSTITUTE(E124,CHAR(13)&amp;CHAR(10),"¤¤¤"),CHAR(10),"¤¤¤")</f>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N124" s="12" t="str">
        <f t="shared" si="124"/>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25" ht="15.0" customHeight="1">
      <c r="A125" s="5" t="s">
        <v>733</v>
      </c>
      <c r="B125" s="9" t="s">
        <v>734</v>
      </c>
      <c r="C125" s="9"/>
      <c r="D125" s="9" t="s">
        <v>728</v>
      </c>
      <c r="E125" s="13" t="s">
        <v>735</v>
      </c>
      <c r="F125" s="8" t="s">
        <v>736</v>
      </c>
      <c r="G125" s="9" t="s">
        <v>305</v>
      </c>
      <c r="H125" s="9" t="str">
        <f t="shared" si="2"/>
        <v>:)</v>
      </c>
      <c r="I125" s="10" t="b">
        <v>0</v>
      </c>
      <c r="J125" s="14" t="s">
        <v>737</v>
      </c>
      <c r="K125" s="14" t="s">
        <v>738</v>
      </c>
      <c r="L125" s="12" t="b">
        <v>0</v>
      </c>
      <c r="M125" s="12" t="str">
        <f t="shared" ref="M125:N125" si="125">SUBSTITUTE(SUBSTITUTE(E125,CHAR(13)&amp;CHAR(10),"¤¤¤"),CHAR(10),"¤¤¤")</f>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N125" s="12" t="str">
        <f t="shared" si="125"/>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26" ht="15.0" customHeight="1">
      <c r="A126" s="5" t="s">
        <v>739</v>
      </c>
      <c r="B126" s="9" t="s">
        <v>740</v>
      </c>
      <c r="C126" s="9"/>
      <c r="D126" s="9" t="s">
        <v>728</v>
      </c>
      <c r="E126" s="13" t="s">
        <v>741</v>
      </c>
      <c r="F126" s="8" t="s">
        <v>742</v>
      </c>
      <c r="G126" s="9" t="s">
        <v>305</v>
      </c>
      <c r="H126" s="9" t="str">
        <f t="shared" si="2"/>
        <v>:)</v>
      </c>
      <c r="I126" s="10" t="b">
        <v>0</v>
      </c>
      <c r="J126" s="14" t="s">
        <v>743</v>
      </c>
      <c r="K126" s="14" t="s">
        <v>744</v>
      </c>
      <c r="L126" s="12" t="b">
        <v>0</v>
      </c>
      <c r="M126" s="12" t="str">
        <f t="shared" ref="M126:N126" si="126">SUBSTITUTE(SUBSTITUTE(E126,CHAR(13)&amp;CHAR(10),"¤¤¤"),CHAR(10),"¤¤¤")</f>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N126" s="12" t="str">
        <f t="shared" si="126"/>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27" ht="15.0" customHeight="1">
      <c r="A127" s="5" t="s">
        <v>745</v>
      </c>
      <c r="B127" s="9" t="s">
        <v>746</v>
      </c>
      <c r="C127" s="5" t="s">
        <v>121</v>
      </c>
      <c r="D127" s="9" t="s">
        <v>728</v>
      </c>
      <c r="E127" s="7" t="s">
        <v>747</v>
      </c>
      <c r="F127" s="8" t="s">
        <v>748</v>
      </c>
      <c r="G127" s="9" t="s">
        <v>305</v>
      </c>
      <c r="H127" s="9" t="str">
        <f t="shared" si="2"/>
        <v>:)</v>
      </c>
      <c r="I127" s="10" t="b">
        <v>0</v>
      </c>
      <c r="J127" s="14" t="s">
        <v>749</v>
      </c>
      <c r="K127" s="14" t="s">
        <v>750</v>
      </c>
      <c r="L127" s="12" t="b">
        <v>0</v>
      </c>
      <c r="M127" s="12" t="str">
        <f t="shared" ref="M127:N127" si="127">SUBSTITUTE(SUBSTITUTE(E127,CHAR(13)&amp;CHAR(10),"¤¤¤"),CHAR(10),"¤¤¤")</f>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v>
      </c>
      <c r="N127" s="12" t="str">
        <f t="shared" si="127"/>
        <v>   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v>
      </c>
    </row>
    <row r="128" ht="15.0" customHeight="1">
      <c r="A128" s="5" t="s">
        <v>745</v>
      </c>
      <c r="B128" s="9" t="s">
        <v>746</v>
      </c>
      <c r="C128" s="20" t="s">
        <v>128</v>
      </c>
      <c r="D128" s="9" t="s">
        <v>728</v>
      </c>
      <c r="E128" s="7" t="s">
        <v>751</v>
      </c>
      <c r="F128" s="8" t="s">
        <v>752</v>
      </c>
      <c r="G128" s="9" t="s">
        <v>305</v>
      </c>
      <c r="H128" s="9" t="str">
        <f t="shared" si="2"/>
        <v>:)</v>
      </c>
      <c r="I128" s="10" t="b">
        <v>0</v>
      </c>
      <c r="J128" s="14" t="s">
        <v>749</v>
      </c>
      <c r="K128" s="14" t="s">
        <v>750</v>
      </c>
      <c r="L128" s="12" t="b">
        <v>0</v>
      </c>
      <c r="M128" s="12" t="str">
        <f t="shared" ref="M128:N128" si="128">SUBSTITUTE(SUBSTITUTE(E128,CHAR(13)&amp;CHAR(10),"¤¤¤"),CHAR(10),"¤¤¤")</f>
        <v>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N128" s="12" t="str">
        <f t="shared" si="128"/>
        <v>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29" ht="15.0" customHeight="1">
      <c r="A129" s="5" t="s">
        <v>753</v>
      </c>
      <c r="B129" s="9" t="s">
        <v>754</v>
      </c>
      <c r="C129" s="9"/>
      <c r="D129" s="9" t="s">
        <v>728</v>
      </c>
      <c r="E129" s="13" t="s">
        <v>755</v>
      </c>
      <c r="F129" s="8" t="s">
        <v>756</v>
      </c>
      <c r="G129" s="9" t="s">
        <v>305</v>
      </c>
      <c r="H129" s="9" t="str">
        <f t="shared" si="2"/>
        <v>:)</v>
      </c>
      <c r="I129" s="10" t="b">
        <v>0</v>
      </c>
      <c r="J129" s="14" t="s">
        <v>757</v>
      </c>
      <c r="K129" s="14" t="s">
        <v>757</v>
      </c>
      <c r="L129" s="12" t="b">
        <v>0</v>
      </c>
      <c r="M129" s="12" t="str">
        <f t="shared" ref="M129:N129" si="129">SUBSTITUTE(SUBSTITUTE(E129,CHAR(13)&amp;CHAR(10),"¤¤¤"),CHAR(10),"¤¤¤")</f>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N129" s="12" t="str">
        <f t="shared" si="129"/>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30" ht="15.0" customHeight="1">
      <c r="A130" s="5" t="s">
        <v>758</v>
      </c>
      <c r="B130" s="9" t="s">
        <v>759</v>
      </c>
      <c r="C130" s="9"/>
      <c r="D130" s="9" t="s">
        <v>728</v>
      </c>
      <c r="E130" s="13" t="s">
        <v>760</v>
      </c>
      <c r="F130" s="8" t="s">
        <v>761</v>
      </c>
      <c r="G130" s="9" t="s">
        <v>305</v>
      </c>
      <c r="H130" s="9" t="str">
        <f t="shared" si="2"/>
        <v>:)</v>
      </c>
      <c r="I130" s="10" t="b">
        <v>0</v>
      </c>
      <c r="J130" s="14" t="s">
        <v>762</v>
      </c>
      <c r="K130" s="14" t="s">
        <v>763</v>
      </c>
      <c r="L130" s="12" t="b">
        <v>0</v>
      </c>
      <c r="M130" s="12" t="str">
        <f t="shared" ref="M130:N130" si="130">SUBSTITUTE(SUBSTITUTE(E130,CHAR(13)&amp;CHAR(10),"¤¤¤"),CHAR(10),"¤¤¤")</f>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N130" s="12" t="str">
        <f t="shared" si="130"/>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31" ht="15.0" customHeight="1">
      <c r="A131" s="5" t="s">
        <v>764</v>
      </c>
      <c r="B131" s="9" t="s">
        <v>765</v>
      </c>
      <c r="C131" s="9"/>
      <c r="D131" s="9" t="s">
        <v>766</v>
      </c>
      <c r="E131" s="13" t="s">
        <v>767</v>
      </c>
      <c r="F131" s="8" t="s">
        <v>768</v>
      </c>
      <c r="G131" s="9" t="s">
        <v>305</v>
      </c>
      <c r="H131" s="9" t="str">
        <f t="shared" si="2"/>
        <v>:)</v>
      </c>
      <c r="I131" s="10" t="b">
        <v>0</v>
      </c>
      <c r="J131" s="14" t="s">
        <v>769</v>
      </c>
      <c r="K131" s="14" t="s">
        <v>770</v>
      </c>
      <c r="L131" s="12" t="b">
        <v>0</v>
      </c>
      <c r="M131" s="12" t="str">
        <f t="shared" ref="M131:N131" si="131">SUBSTITUTE(SUBSTITUTE(E131,CHAR(13)&amp;CHAR(10),"¤¤¤"),CHAR(10),"¤¤¤")</f>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N131" s="12" t="str">
        <f t="shared" si="131"/>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32" ht="15.0" customHeight="1">
      <c r="A132" s="5" t="s">
        <v>771</v>
      </c>
      <c r="B132" s="9" t="s">
        <v>772</v>
      </c>
      <c r="C132" s="9"/>
      <c r="D132" s="9" t="s">
        <v>773</v>
      </c>
      <c r="E132" s="13" t="s">
        <v>774</v>
      </c>
      <c r="F132" s="8" t="s">
        <v>775</v>
      </c>
      <c r="G132" s="9" t="s">
        <v>305</v>
      </c>
      <c r="H132" s="9" t="str">
        <f t="shared" si="2"/>
        <v>:)</v>
      </c>
      <c r="I132" s="10" t="b">
        <v>0</v>
      </c>
      <c r="J132" s="14" t="s">
        <v>776</v>
      </c>
      <c r="K132" s="14" t="s">
        <v>777</v>
      </c>
      <c r="L132" s="12" t="b">
        <v>0</v>
      </c>
      <c r="M132" s="12" t="str">
        <f t="shared" ref="M132:N132" si="132">SUBSTITUTE(SUBSTITUTE(E132,CHAR(13)&amp;CHAR(10),"¤¤¤"),CHAR(10),"¤¤¤")</f>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N132" s="12" t="str">
        <f t="shared" si="132"/>
        <v>   Am                   F  -  E¤¤¤Az ember sárból jön és sárba tér,¤¤¤    Am                        F    -   E¤¤¤A szegény ember nem más, csak izom és vér¤¤¤     Am               Dm¤¤¤Csak izom és vér és csontos kéz,¤¤¤   F            E  -  Am¤¤¤És erős hát és durva ész.¤¤¤¤¤¤Tizenhat tonnát raksz és mennyi a bér,¤¤¤Egy nappal vénebb vagy a hiteledért,¤¤¤Szent Péter engem ne hívj, én nem mehetek¤¤¤A lelkem a vállalatot illeti meg.¤¤¤¤¤¤Hogy megszülettem, nem volt még napsugár,¤¤¤De csákányt a kézbe, és a bánya vár.¤¤¤Tizenhat tonnát raktam, akár a gép,¤¤¤S a zord főnök így szólt: elég szép.¤¤¤¤¤¤Tizenhat tonnát raksz...¤¤¤¤¤¤Hogy megszülettem eső hullt a telepeken,¤¤¤És "küszködj" és "melózz" lett a becenevem.¤¤¤Mint kölykét az oroszlán, nevelt a sors,¤¤¤S az asszony hallgat mert a kezem gyors.¤¤¤¤¤¤¤¤¤Tizenhat tonnát raksz...¤¤¤¤¤¤¤¤¤Aki jőni lát, jobb ha félre lép,¤¤¤Volt, ki nem tünt el, s már a csontja sem ép.¤¤¤Az egyik öklöm vas, a másik acél,¤¤¤Ha nem talál el jobbról, akkor balról ér.¤¤¤¤¤¤¤¤¤Tizenhat tonnát raksz...¤¤¤</v>
      </c>
    </row>
    <row r="133" ht="15.0" customHeight="1">
      <c r="A133" s="5" t="s">
        <v>778</v>
      </c>
      <c r="B133" s="9" t="s">
        <v>779</v>
      </c>
      <c r="C133" s="9"/>
      <c r="D133" s="9" t="s">
        <v>773</v>
      </c>
      <c r="E133" s="13" t="s">
        <v>780</v>
      </c>
      <c r="F133" s="8" t="s">
        <v>781</v>
      </c>
      <c r="G133" s="9" t="s">
        <v>305</v>
      </c>
      <c r="H133" s="9" t="str">
        <f t="shared" si="2"/>
        <v>:)</v>
      </c>
      <c r="I133" s="21" t="b">
        <v>1</v>
      </c>
      <c r="J133" s="14" t="s">
        <v>782</v>
      </c>
      <c r="K133" s="14" t="s">
        <v>783</v>
      </c>
      <c r="L133" s="22" t="b">
        <v>0</v>
      </c>
      <c r="M133" s="12" t="str">
        <f t="shared" ref="M133:N133" si="133">SUBSTITUTE(SUBSTITUTE(E133,CHAR(13)&amp;CHAR(10),"¤¤¤"),CHAR(10),"¤¤¤")</f>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N133" s="12" t="str">
        <f t="shared" si="13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34" ht="14.25" customHeight="1">
      <c r="A134" s="5" t="s">
        <v>784</v>
      </c>
      <c r="B134" s="9" t="s">
        <v>785</v>
      </c>
      <c r="C134" s="9"/>
      <c r="D134" s="5" t="s">
        <v>786</v>
      </c>
      <c r="E134" s="13" t="s">
        <v>787</v>
      </c>
      <c r="F134" s="8" t="s">
        <v>788</v>
      </c>
      <c r="G134" s="9" t="s">
        <v>305</v>
      </c>
      <c r="H134" s="9" t="str">
        <f t="shared" si="2"/>
        <v>:)</v>
      </c>
      <c r="I134" s="10" t="b">
        <v>0</v>
      </c>
      <c r="J134" s="14" t="s">
        <v>789</v>
      </c>
      <c r="K134" s="14" t="s">
        <v>789</v>
      </c>
      <c r="L134" s="12" t="b">
        <v>0</v>
      </c>
      <c r="M134" s="12" t="str">
        <f t="shared" ref="M134:N134" si="134">SUBSTITUTE(SUBSTITUTE(E134,CHAR(13)&amp;CHAR(10),"¤¤¤"),CHAR(10),"¤¤¤")</f>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N134" s="12" t="str">
        <f t="shared" si="134"/>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35" ht="14.25" customHeight="1">
      <c r="A135" s="5" t="s">
        <v>790</v>
      </c>
      <c r="B135" s="9" t="s">
        <v>791</v>
      </c>
      <c r="C135" s="9"/>
      <c r="D135" s="9" t="s">
        <v>792</v>
      </c>
      <c r="E135" s="13" t="s">
        <v>793</v>
      </c>
      <c r="F135" s="8" t="s">
        <v>794</v>
      </c>
      <c r="G135" s="9" t="s">
        <v>305</v>
      </c>
      <c r="H135" s="9" t="str">
        <f t="shared" si="2"/>
        <v>:)</v>
      </c>
      <c r="I135" s="21" t="b">
        <v>1</v>
      </c>
      <c r="J135" s="11" t="s">
        <v>795</v>
      </c>
      <c r="K135" s="14" t="s">
        <v>795</v>
      </c>
      <c r="L135" s="16" t="b">
        <v>0</v>
      </c>
      <c r="M135" s="12" t="str">
        <f t="shared" ref="M135:N135" si="135">SUBSTITUTE(SUBSTITUTE(E135,CHAR(13)&amp;CHAR(10),"¤¤¤"),CHAR(10),"¤¤¤")</f>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N135" s="12" t="str">
        <f t="shared" si="135"/>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36" ht="14.25" customHeight="1">
      <c r="A136" s="5" t="s">
        <v>796</v>
      </c>
      <c r="B136" s="5" t="s">
        <v>797</v>
      </c>
      <c r="C136" s="5" t="s">
        <v>121</v>
      </c>
      <c r="D136" s="9" t="s">
        <v>792</v>
      </c>
      <c r="E136" s="7" t="s">
        <v>798</v>
      </c>
      <c r="F136" s="8" t="s">
        <v>799</v>
      </c>
      <c r="G136" s="9" t="s">
        <v>305</v>
      </c>
      <c r="H136" s="9" t="str">
        <f t="shared" si="2"/>
        <v>:)</v>
      </c>
      <c r="I136" s="21" t="b">
        <v>1</v>
      </c>
      <c r="J136" s="14" t="s">
        <v>800</v>
      </c>
      <c r="K136" s="14" t="s">
        <v>800</v>
      </c>
      <c r="L136" s="22" t="b">
        <v>0</v>
      </c>
      <c r="M136" s="12" t="str">
        <f t="shared" ref="M136:N136" si="136">SUBSTITUTE(SUBSTITUTE(E136,CHAR(13)&amp;CHAR(10),"¤¤¤"),CHAR(10),"¤¤¤")</f>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N136" s="12" t="str">
        <f t="shared" si="136"/>
        <v>Am¤¤¤Ülj le mellém¤¤¤C¤¤¤Valamit mondok¤¤¤G¤¤¤Szomjas vagy látom¤¤¤ ¤¤¤Egy üveg bort kibontok, figyelj...¤¤¤ ¤¤¤ Am¤¤¤Lehet, hogy nem vagy gyenge¤¤¤        C¤¤¤De ha a szívedbe szalad a penge¤¤¤      Am¤¤¤Attól nem érzed magad jobban¤¤¤     C¤¤¤Ha a kocsidban bomba robban¤¤¤ ¤¤¤¤¤¤Tudom én, erős vagy, persze¤¤¤De ha a fejedben ott van a fejsze¤¤¤Vagy a fegyver csövébe nézel¤¤¤Ott már semmire nem mégy pénzzel¤¤¤ ¤¤¤¤¤¤És hiába vagy gazdag¤¤¤Ha az égiek leszavaznak¤¤¤A kocka el van vetve¤¤¤Te meg a föld alá temetve¤¤¤ ¤¤¤¤¤¤Ott már hiába van ügyvéd¤¤¤Aki a törvényektől megvéd¤¤¤Itt senki se golyóálló¤¤¤És ha szakad a védőháló¤¤¤ ¤¤¤¤¤¤   F¤¤¤A halálugrás végén¤¤¤   G¤¤¤A túlvilági TV-n¤¤¤ ¤¤¤¤¤¤     Am              F¤¤¤Majd rólad szólnak a hírek¤¤¤C                G¤¤¤Veled van tele a sajtó¤¤¤      Am            F¤¤¤Aki a pokolra kíván jutni¤¤¤      C               G¤¤¤Annak balra a második ajtó¤¤¤        Am               F¤¤¤De ha a Szent-Péter-szigetekre¤¤¤    C                 G¤¤¤Már be van fizetve az útja¤¤¤        F               F¤¤¤Önnek a Mennyország Tourist¤¤¤          G           G¤¤¤A legjobb szolgáltatást nyújtja¤¤¤ ¤¤¤ ¤¤¤Am Am Am Am</v>
      </c>
    </row>
    <row r="137" ht="14.25" customHeight="1">
      <c r="A137" s="5" t="s">
        <v>796</v>
      </c>
      <c r="B137" s="5" t="s">
        <v>797</v>
      </c>
      <c r="C137" s="20" t="s">
        <v>128</v>
      </c>
      <c r="D137" s="9" t="s">
        <v>792</v>
      </c>
      <c r="E137" s="7" t="s">
        <v>801</v>
      </c>
      <c r="F137" s="8" t="s">
        <v>802</v>
      </c>
      <c r="G137" s="9" t="s">
        <v>305</v>
      </c>
      <c r="H137" s="9" t="str">
        <f t="shared" si="2"/>
        <v>:)</v>
      </c>
      <c r="I137" s="21" t="b">
        <v>1</v>
      </c>
      <c r="J137" s="14" t="s">
        <v>800</v>
      </c>
      <c r="K137" s="14" t="s">
        <v>800</v>
      </c>
      <c r="L137" s="16" t="b">
        <v>1</v>
      </c>
      <c r="M137" s="12" t="str">
        <f t="shared" ref="M137:N137" si="137">SUBSTITUTE(SUBSTITUTE(E137,CHAR(13)&amp;CHAR(10),"¤¤¤"),CHAR(10),"¤¤¤")</f>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N137" s="12" t="str">
        <f t="shared" si="137"/>
        <v>   Am¤¤¤És lehet, hogy nem vagy gyáva¤¤¤     C¤¤¤És a végén te maradsz állva¤¤¤   Am¤¤¤De mire jó úgy ez az élet¤¤¤       C¤¤¤Hogyha futnod kell, amíg éled¤¤¤¤¤¤És hiába vagy bátor¤¤¤Mint egy római gladiátor¤¤¤Aki keményebb mint a szikla¤¤¤Mégis lehet, hogy elég egy szikra¤¤¤¤¤¤  F¤¤¤A gyújtózsinór végén¤¤¤     G¤¤¤És a túlvilági TV-n¤¤¤¤¤¤¤¤¤     Am              F¤¤¤Majd rólad szólnak a hírek¤¤¤C                G¤¤¤Veled van tele a sajtó¤¤¤¤¤¤Aki a pokolra kíván jutni¤¤¤Annak balra a második ajtó¤¤¤De ha a Szent-Péter-szigetekre¤¤¤Már be van fizetve az útja¤¤¤Önnek a Mennyország Tourist¤¤¤A legjobb szolgáltatást nyújtja¤¤¤ ¤¤¤¤¤¤Am                   C¤¤¤Mi Atyánk, ki vagy a Mennyekbe'¤¤¤            F            G¤¤¤Mondd csak, melyik ajtón menjek be¤¤¤¤¤¤Mi Atyánk, ki vagy a Mennyekbe'¤¤¤Mondd csak, melyik ajtón menjek be¤¤¤Mi Atyánk, ki vagy a Mennyekbe'¤¤¤Mondd csak, én melyik ajtón menjek be¤¤¤Mi Atyánk, ki vagy a Mennyekbe'¤¤¤Mondd csak...¤¤¤ ¤¤¤¤¤¤ Am            F¤¤¤Az emberek meg néznek¤¤¤ C              G¤¤¤Hogy az Isten a pénz lett¤¤¤¤¤¤Sorban nyílnak a bankok¤¤¤És az jelenti a rangod¤¤¤Hogy mennyire állat az autód¤¤¤Mekkora mellű a nőd¤¤¤¤¤¤        F            F¤¤¤És hogy meddig bírod feltekerni¤¤¤G¤¤¤A kocsiban a hangerőt¤¤¤G¤¤¤A kocsiban a hangerőt¤¤¤ ¤¤¤ ¤¤¤Am  F  C  G  (x3)¤¤¤F  F  G  G¤¤¤ ¤¤¤ ¤¤¤¤¤¤Majd rólad szólnak a hírek¤¤¤Veled van tele a sajtó¤¤¤Aki a pokolra kíván jutni¤¤¤Annak balra a második ajtó¤¤¤De ha a Szent-Péter-szigetekre¤¤¤Már be van fizetve az útja¤¤¤Önnek a Mennyország Tourist¤¤¤A legjobb szolgáltatást nyújtja¤¤¤¤¤¤¤¤¤Am                   C¤¤¤Mi Atyánk, ki vagy a Mennyekbe'¤¤¤            F            G¤¤¤Mondd csak, melyik ajtón menjek be¤¤¤¤¤¤Mi Atyánk, ki vagy a Mennyekbe'¤¤¤Mondd csak, melyik ajtón menjek be¤¤¤Mi Atyánk, ki vagy a Mennyekbe'¤¤¤Mondd csak, melyik ajtón menjek be¤¤¤Mi Atyánk, ki vagy a Mennyekbe'¤¤¤Mondd csak, melyik ajtón menjek beeeee¤¤¤ ¤¤¤¤¤¤ ¤¤¤Am  F  C              G¤¤¤        Melyik ajtón menjek be¤¤¤Am  F  C              G¤¤¤        Melyik ajtón menjek be¤¤¤Am  F  C              G¤¤¤        Melyik ajtón menjek be¤¤¤Am  F  C              G¤¤¤ ¤¤¤Am¤¤¤Ülj le mellém¤¤¤C               Am¤¤¤Valamit mondok</v>
      </c>
    </row>
    <row r="138" ht="14.25" customHeight="1">
      <c r="A138" s="5" t="s">
        <v>803</v>
      </c>
      <c r="B138" s="5" t="s">
        <v>804</v>
      </c>
      <c r="C138" s="5" t="s">
        <v>121</v>
      </c>
      <c r="D138" s="5" t="s">
        <v>792</v>
      </c>
      <c r="E138" s="7" t="s">
        <v>805</v>
      </c>
      <c r="F138" s="8" t="s">
        <v>806</v>
      </c>
      <c r="G138" s="9" t="s">
        <v>305</v>
      </c>
      <c r="H138" s="9" t="str">
        <f t="shared" si="2"/>
        <v>:)</v>
      </c>
      <c r="I138" s="21" t="b">
        <v>1</v>
      </c>
      <c r="J138" s="14" t="s">
        <v>807</v>
      </c>
      <c r="K138" s="14" t="s">
        <v>807</v>
      </c>
      <c r="L138" s="12" t="b">
        <v>0</v>
      </c>
      <c r="M138" s="12" t="str">
        <f t="shared" ref="M138:N138" si="138">SUBSTITUTE(SUBSTITUTE(E138,CHAR(13)&amp;CHAR(10),"¤¤¤"),CHAR(10),"¤¤¤")</f>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N138" s="12" t="str">
        <f t="shared" si="138"/>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39" ht="14.25" customHeight="1">
      <c r="A139" s="5" t="s">
        <v>803</v>
      </c>
      <c r="B139" s="5" t="s">
        <v>804</v>
      </c>
      <c r="C139" s="20" t="s">
        <v>128</v>
      </c>
      <c r="D139" s="5" t="s">
        <v>792</v>
      </c>
      <c r="E139" s="7" t="s">
        <v>808</v>
      </c>
      <c r="F139" s="8" t="s">
        <v>809</v>
      </c>
      <c r="G139" s="9" t="s">
        <v>305</v>
      </c>
      <c r="H139" s="9" t="str">
        <f t="shared" si="2"/>
        <v>:)</v>
      </c>
      <c r="I139" s="21" t="b">
        <v>1</v>
      </c>
      <c r="J139" s="14" t="s">
        <v>807</v>
      </c>
      <c r="K139" s="14" t="s">
        <v>807</v>
      </c>
      <c r="L139" s="16" t="b">
        <v>1</v>
      </c>
      <c r="M139" s="12" t="str">
        <f t="shared" ref="M139:N139" si="139">SUBSTITUTE(SUBSTITUTE(E139,CHAR(13)&amp;CHAR(10),"¤¤¤"),CHAR(10),"¤¤¤")</f>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N139" s="12" t="str">
        <f t="shared" si="139"/>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40" ht="14.25" customHeight="1">
      <c r="A140" s="5" t="s">
        <v>810</v>
      </c>
      <c r="B140" s="9" t="s">
        <v>811</v>
      </c>
      <c r="C140" s="9"/>
      <c r="D140" s="9" t="s">
        <v>812</v>
      </c>
      <c r="E140" s="7" t="s">
        <v>813</v>
      </c>
      <c r="F140" s="8" t="s">
        <v>814</v>
      </c>
      <c r="G140" s="9" t="s">
        <v>305</v>
      </c>
      <c r="H140" s="9" t="str">
        <f t="shared" si="2"/>
        <v>:)</v>
      </c>
      <c r="I140" s="10" t="b">
        <v>0</v>
      </c>
      <c r="J140" s="14" t="s">
        <v>815</v>
      </c>
      <c r="K140" s="14" t="s">
        <v>816</v>
      </c>
      <c r="L140" s="12" t="b">
        <v>0</v>
      </c>
      <c r="M140" s="12" t="str">
        <f t="shared" ref="M140:N140" si="140">SUBSTITUTE(SUBSTITUTE(E140,CHAR(13)&amp;CHAR(10),"¤¤¤"),CHAR(10),"¤¤¤")</f>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N140" s="12" t="str">
        <f t="shared" si="140"/>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41" ht="14.25" customHeight="1">
      <c r="A141" s="5" t="s">
        <v>817</v>
      </c>
      <c r="B141" s="9" t="s">
        <v>818</v>
      </c>
      <c r="C141" s="9"/>
      <c r="D141" s="9" t="s">
        <v>819</v>
      </c>
      <c r="E141" s="7" t="s">
        <v>820</v>
      </c>
      <c r="F141" s="8" t="s">
        <v>821</v>
      </c>
      <c r="G141" s="9" t="s">
        <v>305</v>
      </c>
      <c r="H141" s="9" t="str">
        <f t="shared" si="2"/>
        <v>:)</v>
      </c>
      <c r="I141" s="10" t="b">
        <v>0</v>
      </c>
      <c r="J141" s="14" t="s">
        <v>822</v>
      </c>
      <c r="K141" s="14" t="s">
        <v>823</v>
      </c>
      <c r="L141" s="12" t="b">
        <v>0</v>
      </c>
      <c r="M141" s="12" t="str">
        <f t="shared" ref="M141:N141" si="141">SUBSTITUTE(SUBSTITUTE(E141,CHAR(13)&amp;CHAR(10),"¤¤¤"),CHAR(10),"¤¤¤")</f>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N141" s="12" t="str">
        <f t="shared" si="141"/>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42" ht="14.25" customHeight="1">
      <c r="A142" s="5" t="s">
        <v>824</v>
      </c>
      <c r="B142" s="5" t="s">
        <v>825</v>
      </c>
      <c r="C142" s="5" t="s">
        <v>121</v>
      </c>
      <c r="D142" s="9" t="s">
        <v>819</v>
      </c>
      <c r="E142" s="7" t="s">
        <v>826</v>
      </c>
      <c r="F142" s="8" t="s">
        <v>827</v>
      </c>
      <c r="G142" s="9" t="s">
        <v>305</v>
      </c>
      <c r="H142" s="9" t="str">
        <f t="shared" si="2"/>
        <v>:)</v>
      </c>
      <c r="I142" s="10" t="b">
        <v>0</v>
      </c>
      <c r="J142" s="14" t="s">
        <v>828</v>
      </c>
      <c r="K142" s="14" t="s">
        <v>829</v>
      </c>
      <c r="L142" s="12" t="b">
        <v>0</v>
      </c>
      <c r="M142" s="12" t="str">
        <f t="shared" ref="M142:N142" si="142">SUBSTITUTE(SUBSTITUTE(E142,CHAR(13)&amp;CHAR(10),"¤¤¤"),CHAR(10),"¤¤¤")</f>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v>
      </c>
      <c r="N142" s="12" t="str">
        <f t="shared" si="142"/>
        <v>Am   Em7      Am             E4 E7¤¤¤Apám hitte az otthon melegét,¤¤¤Am   Em7      F           E4 E7¤¤¤Apám hitte az ünnep örömét,¤¤¤C        G    F        E4¤¤¤Apám hitte az apja örökét,¤¤¤  E7     Am      E7          Am    E¤¤¤S úgy hiszem, ez így volt szép.¤¤¤¤¤¤Am   Em7      Am           E4 E7¤¤¤Apám hitte az elsõ éjszakát,¤¤¤Am   G       F           E4 E7¤¤¤Apám hitte a gyûrû aranyát,¤¤¤C    G       F          E4¤¤¤Apám hitte a szavak igazát,¤¤¤  E7   Am    E7           Am¤¤¤S úgy hiszem, ez így volt szép.¤¤¤¤¤¤    G          C          Am¤¤¤Tü rü-rü-rü-rü rü rü-rü-rü-rü¤¤¤         Dm7  E7           Am¤¤¤S úgy hiszem, ez így volt szép.¤¤¤¤¤¤Am   Em7     Am         Esus4 E7¤¤¤Apám hitte a hős tetteket,¤¤¤Am   Em7     F            Esus4 E7¤¤¤Apám hitte a bölcsességeket,¤¤¤C    G       F           Esus4¤¤¤Apám hitte a szép verseket,¤¤¤  E7      Am E7           Am¤¤¤S úgy hiszem ez így volt szép¤¤¤ ¤¤¤       C                         E7    Am¤¤¤Ná-ná-ná ná-ná-ná-ná-ná ná ná ná ná-ná-ná¤¤¤¤¤¤Am     Em7     Am             Esus4 E7¤¤¤Apám elhitte a hírmondók szavát,¤¤¤Am   Em7       F           Esus4 E7¤¤¤Apám elhitte Chaplin bánatát,¤¤¤C    G         F           Esus4¤¤¤Apám elhitte a folyók irányát,¤¤¤  E7      Am  E7         Am¤¤¤S azt hiszem, ez így van jól.</v>
      </c>
    </row>
    <row r="143" ht="14.25" customHeight="1">
      <c r="A143" s="5" t="s">
        <v>824</v>
      </c>
      <c r="B143" s="5" t="s">
        <v>825</v>
      </c>
      <c r="C143" s="20" t="s">
        <v>128</v>
      </c>
      <c r="D143" s="9" t="s">
        <v>819</v>
      </c>
      <c r="E143" s="7" t="s">
        <v>830</v>
      </c>
      <c r="F143" s="8" t="s">
        <v>831</v>
      </c>
      <c r="G143" s="9" t="s">
        <v>305</v>
      </c>
      <c r="H143" s="9" t="str">
        <f t="shared" si="2"/>
        <v>:)</v>
      </c>
      <c r="I143" s="10" t="b">
        <v>0</v>
      </c>
      <c r="J143" s="14" t="s">
        <v>828</v>
      </c>
      <c r="K143" s="14" t="s">
        <v>829</v>
      </c>
      <c r="L143" s="16" t="b">
        <v>1</v>
      </c>
      <c r="M143" s="12" t="str">
        <f t="shared" ref="M143:N143" si="143">SUBSTITUTE(SUBSTITUTE(E143,CHAR(13)&amp;CHAR(10),"¤¤¤"),CHAR(10),"¤¤¤")</f>
        <v>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N143" s="12" t="str">
        <f t="shared" si="143"/>
        <v>   G               C         Am¤¤¤Tü rü-rü-rü-rü rü-rü-rü-rü-rü¤¤¤       Dm7    E7       Am¤¤¤Azt hiszem ez így van jól.¤¤¤ ¤¤¤          C                         E7    Am¤¤¤Na na-na-na na-na-na-na-na-na na na na-na-na¤¤¤          C                         E7     Am¤¤¤Na na-na-na na-na-na-na-na-na na na na-na-na.....¤¤¤ ¤¤¤                              C¤¤¤Én is hiszek egy-két szép dologban,¤¤¤                   E7      Am¤¤¤Hiszek a dalban, a dalban, a dalban.¤¤¤Am                      C¤¤¤És én hiszek a város zajában,¤¤¤              E7        Am¤¤¤És én hiszek benne, s magamban.¤¤¤                          C¤¤¤És én hiszek a mikrobarázdában,¤¤¤                E7      Am¤¤¤És én hiszek a táguló világban.¤¤¤                      C¤¤¤És én hiszek a lézersugárban,¤¤¤                 E         Am¤¤¤És én hiszek az ezredfordulóban.¤¤¤                         C¤¤¤És én hiszek a kvadrofóniában,¤¤¤               E7           Am¤¤¤És én hiszek a fegyver halálában.¤¤¤                             C¤¤¤És én hiszek a folyóban s a hídban,¤¤¤             E7              Am¤¤¤És én hiszek hiszek hiszek apámban.¤¤¤¤¤¤Am       C                          E7   Am¤¤¤Na na-na-na na-na-na-na-na-na na na na-na-na...</v>
      </c>
    </row>
    <row r="144" ht="14.25" customHeight="1">
      <c r="A144" s="5" t="s">
        <v>832</v>
      </c>
      <c r="B144" s="9" t="s">
        <v>833</v>
      </c>
      <c r="C144" s="9"/>
      <c r="D144" s="9" t="s">
        <v>834</v>
      </c>
      <c r="E144" s="13" t="s">
        <v>835</v>
      </c>
      <c r="F144" s="8" t="s">
        <v>836</v>
      </c>
      <c r="G144" s="9" t="s">
        <v>305</v>
      </c>
      <c r="H144" s="9" t="str">
        <f t="shared" si="2"/>
        <v>:)</v>
      </c>
      <c r="I144" s="10" t="b">
        <v>0</v>
      </c>
      <c r="J144" s="14" t="s">
        <v>837</v>
      </c>
      <c r="K144" s="14" t="s">
        <v>838</v>
      </c>
      <c r="L144" s="12" t="b">
        <v>0</v>
      </c>
      <c r="M144" s="12" t="str">
        <f t="shared" ref="M144:N144" si="144">SUBSTITUTE(SUBSTITUTE(E144,CHAR(13)&amp;CHAR(10),"¤¤¤"),CHAR(10),"¤¤¤")</f>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N144" s="12" t="str">
        <f t="shared" si="144"/>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45" ht="15.75" customHeight="1">
      <c r="A145" s="5" t="s">
        <v>839</v>
      </c>
      <c r="B145" s="5" t="s">
        <v>840</v>
      </c>
      <c r="C145" s="5"/>
      <c r="D145" s="5" t="s">
        <v>841</v>
      </c>
      <c r="E145" s="7" t="s">
        <v>842</v>
      </c>
      <c r="F145" s="8" t="s">
        <v>843</v>
      </c>
      <c r="G145" s="5" t="s">
        <v>305</v>
      </c>
      <c r="H145" s="9" t="str">
        <f t="shared" si="2"/>
        <v>:)</v>
      </c>
      <c r="I145" s="10" t="b">
        <v>0</v>
      </c>
      <c r="J145" s="14" t="s">
        <v>844</v>
      </c>
      <c r="K145" s="14" t="s">
        <v>845</v>
      </c>
      <c r="L145" s="12" t="b">
        <v>0</v>
      </c>
      <c r="M145" s="12" t="str">
        <f t="shared" ref="M145:N145" si="145">SUBSTITUTE(SUBSTITUTE(E145,CHAR(13)&amp;CHAR(10),"¤¤¤"),CHAR(10),"¤¤¤")</f>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N145" s="12" t="str">
        <f t="shared" si="145"/>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46" ht="15.0" customHeight="1">
      <c r="A146" s="5" t="s">
        <v>846</v>
      </c>
      <c r="B146" s="5" t="s">
        <v>847</v>
      </c>
      <c r="C146" s="5"/>
      <c r="D146" s="5" t="s">
        <v>848</v>
      </c>
      <c r="E146" s="7" t="s">
        <v>849</v>
      </c>
      <c r="F146" s="8" t="s">
        <v>850</v>
      </c>
      <c r="G146" s="5" t="s">
        <v>851</v>
      </c>
      <c r="H146" s="9" t="str">
        <f t="shared" si="2"/>
        <v>:)</v>
      </c>
      <c r="I146" s="10" t="b">
        <v>0</v>
      </c>
      <c r="J146" s="14" t="s">
        <v>852</v>
      </c>
      <c r="K146" s="16" t="s">
        <v>76</v>
      </c>
      <c r="L146" s="12" t="b">
        <v>0</v>
      </c>
      <c r="M146" s="12" t="str">
        <f t="shared" ref="M146:N146" si="146">SUBSTITUTE(SUBSTITUTE(E146,CHAR(13)&amp;CHAR(10),"¤¤¤"),CHAR(10),"¤¤¤")</f>
        <v>Szijáhámbá ekukuanien kvenkosz¤¤¤Szijáhámbá ekukuanien kvenkosz¤¤¤Szijáhámbá ekukuanien kvenkosz¤¤¤Szijáhámbá ekukuanien kvenkosz¤¤¤Szijáhámbá, Szijáhámbá oh,¤¤¤Szijáhámbá ekukuanien kvenkosz¤¤¤Szijáhámbá, Szijáhámbá oh,¤¤¤Szijáhámbá ekukuanien kvenkosz</v>
      </c>
      <c r="N146" s="12" t="str">
        <f t="shared" si="146"/>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47" ht="14.25" customHeight="1">
      <c r="A147" s="5" t="s">
        <v>853</v>
      </c>
      <c r="B147" s="5" t="s">
        <v>854</v>
      </c>
      <c r="C147" s="5"/>
      <c r="D147" s="5" t="s">
        <v>848</v>
      </c>
      <c r="E147" s="7" t="s">
        <v>855</v>
      </c>
      <c r="F147" s="8" t="s">
        <v>856</v>
      </c>
      <c r="G147" s="5" t="s">
        <v>851</v>
      </c>
      <c r="H147" s="9" t="str">
        <f t="shared" si="2"/>
        <v>:)</v>
      </c>
      <c r="I147" s="10" t="b">
        <v>0</v>
      </c>
      <c r="J147" s="14" t="s">
        <v>857</v>
      </c>
      <c r="K147" s="14" t="s">
        <v>857</v>
      </c>
      <c r="L147" s="12" t="b">
        <v>0</v>
      </c>
      <c r="M147" s="12" t="str">
        <f t="shared" ref="M147:N147" si="147">SUBSTITUTE(SUBSTITUTE(E147,CHAR(13)&amp;CHAR(10),"¤¤¤"),CHAR(10),"¤¤¤")</f>
        <v>Shosholozá¤¤¤Kulezo ntábá¤¤¤Sztimela szikuema South Africa.¤¤¤¤¤¤Ven' ujábáleká¤¤¤Kulezo ntábá¤¤¤Sztimela szikuema South Africa.</v>
      </c>
      <c r="N147" s="12" t="str">
        <f t="shared" si="147"/>
        <v>G¤¤¤Shosholozá¤¤¤  C¤¤¤Kulezo ntábá¤¤¤D                       G¤¤¤Sztimela szikuema South Africa.¤¤¤¤¤¤¤¤¤G¤¤¤Ven' ujábáleká¤¤¤  C¤¤¤Kulezo ntábá¤¤¤D¤¤¤Sztimela szikuema South Africa.</v>
      </c>
    </row>
    <row r="148" ht="14.25" customHeight="1">
      <c r="A148" s="5" t="s">
        <v>858</v>
      </c>
      <c r="B148" s="5" t="s">
        <v>859</v>
      </c>
      <c r="C148" s="6" t="s">
        <v>860</v>
      </c>
      <c r="D148" s="5" t="s">
        <v>861</v>
      </c>
      <c r="E148" s="13" t="s">
        <v>862</v>
      </c>
      <c r="F148" s="8" t="s">
        <v>863</v>
      </c>
      <c r="G148" s="5" t="s">
        <v>864</v>
      </c>
      <c r="H148" s="9" t="str">
        <f t="shared" si="2"/>
        <v>:)</v>
      </c>
      <c r="I148" s="10" t="b">
        <v>0</v>
      </c>
      <c r="J148" s="14" t="s">
        <v>865</v>
      </c>
      <c r="K148" s="14" t="s">
        <v>866</v>
      </c>
      <c r="L148" s="12" t="b">
        <v>0</v>
      </c>
      <c r="M148" s="12" t="str">
        <f t="shared" ref="M148:N148" si="148">SUBSTITUTE(SUBSTITUTE(E148,CHAR(13)&amp;CHAR(10),"¤¤¤"),CHAR(10),"¤¤¤")</f>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N148" s="12" t="str">
        <f t="shared" si="148"/>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49" ht="14.25" customHeight="1">
      <c r="A149" s="5" t="s">
        <v>867</v>
      </c>
      <c r="B149" s="5" t="s">
        <v>868</v>
      </c>
      <c r="C149" s="6" t="s">
        <v>869</v>
      </c>
      <c r="D149" s="5" t="s">
        <v>870</v>
      </c>
      <c r="E149" s="7" t="s">
        <v>871</v>
      </c>
      <c r="F149" s="17" t="s">
        <v>872</v>
      </c>
      <c r="G149" s="5" t="s">
        <v>864</v>
      </c>
      <c r="H149" s="9" t="str">
        <f t="shared" si="2"/>
        <v>:)</v>
      </c>
      <c r="I149" s="10" t="b">
        <v>0</v>
      </c>
      <c r="J149" s="14" t="s">
        <v>873</v>
      </c>
      <c r="K149" s="14" t="s">
        <v>874</v>
      </c>
      <c r="L149" s="12" t="b">
        <v>0</v>
      </c>
      <c r="M149" s="12" t="str">
        <f t="shared" ref="M149:N149" si="149">SUBSTITUTE(SUBSTITUTE(E149,CHAR(13)&amp;CHAR(10),"¤¤¤"),CHAR(10),"¤¤¤")</f>
        <v>Máoz cur jesuáti,¤¤¤leḥá náe lesábeáḥ.¤¤¤Tikon bet tefiláti,¤¤¤vesám todá nezábeáḥ.¤¤¤ ¤¤¤Leet táḥin mátbeáḥ,¤¤¤micár hámnábeáḥ.¤¤¤Áz egmor besir mizmor,¤¤¤ḥánukát hámizbeáḥ.¤¤¤Áz egmor besir mizmor,¤¤¤ḥánukát hámizbeáḥ.</v>
      </c>
      <c r="N149" s="12" t="str">
        <f t="shared" si="149"/>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50" ht="14.25" customHeight="1">
      <c r="A150" s="5" t="s">
        <v>875</v>
      </c>
      <c r="B150" s="5" t="s">
        <v>876</v>
      </c>
      <c r="C150" s="5"/>
      <c r="D150" s="9"/>
      <c r="E150" s="7" t="s">
        <v>877</v>
      </c>
      <c r="F150" s="17" t="s">
        <v>878</v>
      </c>
      <c r="G150" s="5" t="s">
        <v>864</v>
      </c>
      <c r="H150" s="9" t="str">
        <f t="shared" si="2"/>
        <v>:)</v>
      </c>
      <c r="I150" s="10" t="b">
        <v>0</v>
      </c>
      <c r="J150" s="14" t="s">
        <v>879</v>
      </c>
      <c r="K150" s="16" t="s">
        <v>76</v>
      </c>
      <c r="L150" s="12" t="b">
        <v>0</v>
      </c>
      <c r="M150" s="12" t="str">
        <f t="shared" ref="M150:N150" si="150">SUBSTITUTE(SUBSTITUTE(E150,CHAR(13)&amp;CHAR(10),"¤¤¤"),CHAR(10),"¤¤¤")</f>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N150" s="12" t="str">
        <f t="shared" si="150"/>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51" ht="14.25" customHeight="1">
      <c r="A151" s="5" t="s">
        <v>880</v>
      </c>
      <c r="B151" s="5" t="s">
        <v>881</v>
      </c>
      <c r="C151" s="6" t="s">
        <v>882</v>
      </c>
      <c r="D151" s="5" t="s">
        <v>883</v>
      </c>
      <c r="E151" s="7" t="s">
        <v>884</v>
      </c>
      <c r="F151" s="17" t="s">
        <v>885</v>
      </c>
      <c r="G151" s="5" t="s">
        <v>864</v>
      </c>
      <c r="H151" s="9" t="str">
        <f t="shared" si="2"/>
        <v>:)</v>
      </c>
      <c r="I151" s="10" t="b">
        <v>0</v>
      </c>
      <c r="J151" s="14" t="s">
        <v>886</v>
      </c>
      <c r="K151" s="14" t="s">
        <v>886</v>
      </c>
      <c r="L151" s="12" t="b">
        <v>0</v>
      </c>
      <c r="M151" s="12" t="str">
        <f t="shared" ref="M151:N151" si="151">SUBSTITUTE(SUBSTITUTE(E151,CHAR(13)&amp;CHAR(10),"¤¤¤"),CHAR(10),"¤¤¤")</f>
        <v>Szevivon, szov szov szov,¤¤¤ḥánuká hu ḥág tov,¤¤¤ḥánuká hu ḥág tov,¤¤¤szevivon, szov szov szov!¤¤¤¤¤¤Szov ná, szov ko váḥo,¤¤¤nesz gádol hájá po,¤¤¤nesz gádol hájá po,¤¤¤szov ná, szov ko váḥo!</v>
      </c>
      <c r="N151" s="12" t="str">
        <f t="shared" si="151"/>
        <v>Dm    A   Dm          A¤¤¤Szevivon, szov szov szov,¤¤¤Dm  Gm Dm     A¤¤¤ḥánuká hu ḥág tov,¤¤¤Dm   A Dm     Gm¤¤¤ḥánuká hu ḥág tov,¤¤¤A         Dm¤¤¤szevivon, szov szov szov!¤¤¤¤¤¤¤¤¤Gm            Dm¤¤¤Szov ná, szov ko váḥo,¤¤¤A            Dm¤¤¤nesz gádol hájá po,¤¤¤Gm           Dm¤¤¤nesz gádol hájá po,¤¤¤A             Dm¤¤¤szov ná, szov ko váḥo!</v>
      </c>
    </row>
    <row r="152" ht="14.25" customHeight="1">
      <c r="A152" s="5" t="s">
        <v>887</v>
      </c>
      <c r="B152" s="5" t="s">
        <v>888</v>
      </c>
      <c r="C152" s="6" t="s">
        <v>889</v>
      </c>
      <c r="D152" s="5" t="s">
        <v>890</v>
      </c>
      <c r="E152" s="7" t="s">
        <v>891</v>
      </c>
      <c r="F152" s="17" t="s">
        <v>892</v>
      </c>
      <c r="G152" s="5" t="s">
        <v>864</v>
      </c>
      <c r="H152" s="9" t="str">
        <f t="shared" si="2"/>
        <v>:)</v>
      </c>
      <c r="I152" s="10" t="b">
        <v>0</v>
      </c>
      <c r="J152" s="14" t="s">
        <v>893</v>
      </c>
      <c r="K152" s="16" t="s">
        <v>76</v>
      </c>
      <c r="L152" s="12" t="b">
        <v>0</v>
      </c>
      <c r="M152" s="12" t="str">
        <f t="shared" ref="M152:N152" si="152">SUBSTITUTE(SUBSTITUTE(E152,CHAR(13)&amp;CHAR(10),"¤¤¤"),CHAR(10),"¤¤¤")</f>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N152" s="12" t="str">
        <f t="shared" si="152"/>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máror.¤¤¤¤¤¤Sebeḥol hálelot ejn enu mátbilin¤¤¤áfilu páám áḥát, áfilu páám áḥát,¤¤¤hálájlá háze, hálájlá háze setej peámim.¤¤¤Hálájlá háze, hálájlá háze setej peámim.¤¤¤¤¤¤Sebeḥol hálelot ánu oḥlin¤¤¤ben josvin uven meszubin, ben josvin uven meszubin,¤¤¤hálájlá háze, hálájlá háze kulánu meszubin.¤¤¤Hálájlá háze, hálájlá háze kulánu meszubin.</v>
      </c>
    </row>
    <row r="153" ht="14.25" customHeight="1">
      <c r="A153" s="5" t="s">
        <v>894</v>
      </c>
      <c r="B153" s="5" t="s">
        <v>895</v>
      </c>
      <c r="C153" s="6" t="s">
        <v>896</v>
      </c>
      <c r="D153" s="5" t="s">
        <v>890</v>
      </c>
      <c r="E153" s="7" t="s">
        <v>897</v>
      </c>
      <c r="F153" s="17" t="s">
        <v>898</v>
      </c>
      <c r="G153" s="5" t="s">
        <v>864</v>
      </c>
      <c r="H153" s="9" t="str">
        <f t="shared" si="2"/>
        <v>:)</v>
      </c>
      <c r="I153" s="10" t="b">
        <v>0</v>
      </c>
      <c r="J153" s="14" t="s">
        <v>899</v>
      </c>
      <c r="K153" s="16" t="s">
        <v>76</v>
      </c>
      <c r="L153" s="12" t="b">
        <v>0</v>
      </c>
      <c r="M153" s="12" t="str">
        <f t="shared" ref="M153:N153" si="153">SUBSTITUTE(SUBSTITUTE(E153,CHAR(13)&amp;CHAR(10),"¤¤¤"),CHAR(10),"¤¤¤")</f>
        <v>Ilu ilu hociánu,¤¤¤hociánu mimicrájim,¤¤¤mimicrájim hociánu, dájenu.¤¤¤Dáj dájenu…</v>
      </c>
      <c r="N153" s="12" t="str">
        <f t="shared" si="153"/>
        <v>C       C   G¤¤¤Ilu ilu hociánu,¤¤¤C       C     G¤¤¤hociánu mimicrájim,¤¤¤C     G    C   G    C¤¤¤mimicrájim hociánu, dájenu.¤¤¤C      G    G     C¤¤¤Dáj dájenu, dáj dájenu,¤¤¤C     G       G         C ¤¤¤dáj dájenu, dájenu dájenu </v>
      </c>
    </row>
    <row r="154" ht="14.25" customHeight="1">
      <c r="A154" s="5" t="s">
        <v>900</v>
      </c>
      <c r="B154" s="5" t="s">
        <v>901</v>
      </c>
      <c r="C154" s="6" t="s">
        <v>902</v>
      </c>
      <c r="D154" s="9"/>
      <c r="E154" s="7" t="s">
        <v>903</v>
      </c>
      <c r="F154" s="17" t="s">
        <v>904</v>
      </c>
      <c r="G154" s="5" t="s">
        <v>864</v>
      </c>
      <c r="H154" s="9" t="str">
        <f t="shared" si="2"/>
        <v>:)</v>
      </c>
      <c r="I154" s="10" t="b">
        <v>0</v>
      </c>
      <c r="J154" s="14" t="s">
        <v>905</v>
      </c>
      <c r="K154" s="16" t="s">
        <v>76</v>
      </c>
      <c r="L154" s="12" t="b">
        <v>0</v>
      </c>
      <c r="M154" s="12" t="str">
        <f t="shared" ref="M154:N154" si="154">SUBSTITUTE(SUBSTITUTE(E154,CHAR(13)&amp;CHAR(10),"¤¤¤"),CHAR(10),"¤¤¤")</f>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N154" s="12" t="str">
        <f t="shared" si="15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55" ht="14.25" customHeight="1">
      <c r="A155" s="5" t="s">
        <v>906</v>
      </c>
      <c r="B155" s="5" t="s">
        <v>907</v>
      </c>
      <c r="C155" s="6" t="s">
        <v>908</v>
      </c>
      <c r="D155" s="9"/>
      <c r="E155" s="7" t="s">
        <v>909</v>
      </c>
      <c r="F155" s="8" t="s">
        <v>910</v>
      </c>
      <c r="G155" s="5" t="s">
        <v>864</v>
      </c>
      <c r="H155" s="9" t="str">
        <f t="shared" si="2"/>
        <v>:)</v>
      </c>
      <c r="I155" s="10" t="b">
        <v>0</v>
      </c>
      <c r="J155" s="14" t="s">
        <v>911</v>
      </c>
      <c r="K155" s="16" t="s">
        <v>76</v>
      </c>
      <c r="L155" s="12" t="b">
        <v>0</v>
      </c>
      <c r="M155" s="12" t="str">
        <f t="shared" ref="M155:N155" si="155">SUBSTITUTE(SUBSTITUTE(E155,CHAR(13)&amp;CHAR(10),"¤¤¤"),CHAR(10),"¤¤¤")</f>
        <v>Osze sálom bimromáv,¤¤¤hu jáásze sálom álenu,¤¤¤veál kol Jiszráel.¤¤¤Veimru, imru: ámen.¤¤¤¤¤¤Jáásze sálom, jáásze sálom,¤¤¤sálom álenu veál kol Jiszráel.</v>
      </c>
      <c r="N155" s="12" t="str">
        <f t="shared" si="155"/>
        <v>Am      E       Am¤¤¤Osze salom bimromáv,¤¤¤Dm      G       C  Am ¤¤¤Hu jáásze sálom álénu¤¤¤Dm G   Am¤¤¤Veálko Iszráél¤¤¤   Dm  E7 Am¤¤¤Veimru ámen.¤¤¤A7     Dm     G7     Am¤¤¤Jáásze sálom, jáásze sálom,¤¤¤Dm     G7    E7        Am¤¤¤Sáálom alénu veálko Iszráél.</v>
      </c>
    </row>
    <row r="156" ht="15.0" customHeight="1">
      <c r="A156" s="5" t="s">
        <v>912</v>
      </c>
      <c r="B156" s="5" t="s">
        <v>913</v>
      </c>
      <c r="C156" s="6" t="s">
        <v>914</v>
      </c>
      <c r="D156" s="9"/>
      <c r="E156" s="7" t="s">
        <v>915</v>
      </c>
      <c r="F156" s="8" t="s">
        <v>916</v>
      </c>
      <c r="G156" s="5" t="s">
        <v>864</v>
      </c>
      <c r="H156" s="9" t="str">
        <f t="shared" si="2"/>
        <v>:)</v>
      </c>
      <c r="I156" s="10" t="b">
        <v>0</v>
      </c>
      <c r="J156" s="11" t="s">
        <v>917</v>
      </c>
      <c r="K156" s="16" t="s">
        <v>76</v>
      </c>
      <c r="L156" s="12" t="b">
        <v>0</v>
      </c>
      <c r="M156" s="12" t="str">
        <f t="shared" ref="M156:N156" si="156">SUBSTITUTE(SUBSTITUTE(E156,CHAR(13)&amp;CHAR(10),"¤¤¤"),CHAR(10),"¤¤¤")</f>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N156" s="12" t="str">
        <f t="shared" si="156"/>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57" ht="15.0" customHeight="1">
      <c r="A157" s="5" t="s">
        <v>918</v>
      </c>
      <c r="B157" s="9" t="s">
        <v>919</v>
      </c>
      <c r="C157" s="6" t="s">
        <v>920</v>
      </c>
      <c r="D157" s="5" t="s">
        <v>921</v>
      </c>
      <c r="E157" s="7" t="s">
        <v>922</v>
      </c>
      <c r="F157" s="8" t="s">
        <v>923</v>
      </c>
      <c r="G157" s="5" t="s">
        <v>864</v>
      </c>
      <c r="H157" s="9" t="str">
        <f t="shared" si="2"/>
        <v>:)</v>
      </c>
      <c r="I157" s="10" t="b">
        <v>0</v>
      </c>
      <c r="J157" s="14" t="s">
        <v>924</v>
      </c>
      <c r="K157" s="14" t="s">
        <v>925</v>
      </c>
      <c r="L157" s="12" t="b">
        <v>0</v>
      </c>
      <c r="M157" s="12" t="str">
        <f t="shared" ref="M157:N157" si="157">SUBSTITUTE(SUBSTITUTE(E157,CHAR(13)&amp;CHAR(10),"¤¤¤"),CHAR(10),"¤¤¤")</f>
        <v>Bim-bam, bim-bibi-bam¤¤¤Bim-bibi bim-bim bam-bam¤¤¤¤¤¤Bim-bam, bim-bibi-bam¤¤¤Bim-bibi bim-bim bam-bam¤¤¤¤¤¤Sábát sálom, sábát sálom, sábát, sábát, sábát, sábát sálom.¤¤¤Sábát sálom, sábát sálom, sábát, sábát, sábát, sábát sálom.</v>
      </c>
      <c r="N157" s="12" t="str">
        <f t="shared" si="157"/>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58" ht="15.0" customHeight="1">
      <c r="A158" s="5" t="s">
        <v>926</v>
      </c>
      <c r="B158" s="5" t="s">
        <v>927</v>
      </c>
      <c r="C158" s="6" t="s">
        <v>928</v>
      </c>
      <c r="D158" s="5"/>
      <c r="E158" s="7" t="s">
        <v>929</v>
      </c>
      <c r="F158" s="8" t="s">
        <v>930</v>
      </c>
      <c r="G158" s="5" t="s">
        <v>864</v>
      </c>
      <c r="H158" s="9" t="str">
        <f t="shared" si="2"/>
        <v>:)</v>
      </c>
      <c r="I158" s="10" t="b">
        <v>0</v>
      </c>
      <c r="J158" s="14" t="s">
        <v>931</v>
      </c>
      <c r="K158" s="16" t="s">
        <v>76</v>
      </c>
      <c r="L158" s="12" t="b">
        <v>0</v>
      </c>
      <c r="M158" s="12" t="str">
        <f t="shared" ref="M158:N158" si="158">SUBSTITUTE(SUBSTITUTE(E158,CHAR(13)&amp;CHAR(10),"¤¤¤"),CHAR(10),"¤¤¤")</f>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N158" s="12" t="str">
        <f t="shared" si="158"/>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59" ht="15.0" customHeight="1">
      <c r="A159" s="5" t="s">
        <v>932</v>
      </c>
      <c r="B159" s="5" t="s">
        <v>933</v>
      </c>
      <c r="C159" s="6" t="s">
        <v>934</v>
      </c>
      <c r="D159" s="5"/>
      <c r="E159" s="7" t="s">
        <v>935</v>
      </c>
      <c r="F159" s="8" t="s">
        <v>936</v>
      </c>
      <c r="G159" s="5" t="s">
        <v>864</v>
      </c>
      <c r="H159" s="9" t="str">
        <f t="shared" si="2"/>
        <v>:)</v>
      </c>
      <c r="I159" s="10" t="b">
        <v>0</v>
      </c>
      <c r="J159" s="14" t="s">
        <v>937</v>
      </c>
      <c r="K159" s="16" t="s">
        <v>76</v>
      </c>
      <c r="L159" s="12" t="b">
        <v>0</v>
      </c>
      <c r="M159" s="12" t="str">
        <f t="shared" ref="M159:N159" si="159">SUBSTITUTE(SUBSTITUTE(E159,CHAR(13)&amp;CHAR(10),"¤¤¤"),CHAR(10),"¤¤¤")</f>
        <v>Eliyahu ha-navi, ¤¤¤Eliyahu ha-Tishbi, ¤¤¤Eliyahu, Eliyahu, ¤¤¤Eliyahu ha-Giladi.¤¤¤ ¤¤¤Bimhayrah v'yamenu, ¤¤¤Yavo aleynu, ¤¤¤Im Moshiach ben David, ¤¤¤Im Moshiach ben David.¤¤¤ ¤¤¤Eliyahu ha-navi, ¤¤¤Eliyahu ha-Tishbi, ¤¤¤Eliyahu, Eliyahu, ¤¤¤Eliyahu ha-Giladi</v>
      </c>
      <c r="N159" s="12" t="str">
        <f t="shared" si="159"/>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60" ht="15.0" customHeight="1">
      <c r="A160" s="5" t="s">
        <v>938</v>
      </c>
      <c r="B160" s="5" t="s">
        <v>939</v>
      </c>
      <c r="C160" s="6" t="s">
        <v>940</v>
      </c>
      <c r="D160" s="5" t="s">
        <v>941</v>
      </c>
      <c r="E160" s="7" t="s">
        <v>942</v>
      </c>
      <c r="F160" s="17" t="s">
        <v>943</v>
      </c>
      <c r="G160" s="5" t="s">
        <v>864</v>
      </c>
      <c r="H160" s="9" t="str">
        <f t="shared" si="2"/>
        <v>:)</v>
      </c>
      <c r="I160" s="10" t="b">
        <v>0</v>
      </c>
      <c r="J160" s="14" t="s">
        <v>944</v>
      </c>
      <c r="K160" s="14" t="s">
        <v>945</v>
      </c>
      <c r="L160" s="12" t="b">
        <v>0</v>
      </c>
      <c r="M160" s="12" t="str">
        <f t="shared" ref="M160:N160" si="160">SUBSTITUTE(SUBSTITUTE(E160,CHAR(13)&amp;CHAR(10),"¤¤¤"),CHAR(10),"¤¤¤")</f>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N160" s="12" t="str">
        <f t="shared" si="160"/>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61" ht="15.0" customHeight="1">
      <c r="A161" s="5" t="s">
        <v>946</v>
      </c>
      <c r="B161" s="5" t="s">
        <v>947</v>
      </c>
      <c r="C161" s="6" t="s">
        <v>948</v>
      </c>
      <c r="D161" s="9"/>
      <c r="E161" s="25" t="s">
        <v>949</v>
      </c>
      <c r="F161" s="17" t="s">
        <v>950</v>
      </c>
      <c r="G161" s="5" t="s">
        <v>864</v>
      </c>
      <c r="H161" s="9" t="str">
        <f t="shared" si="2"/>
        <v>:)</v>
      </c>
      <c r="I161" s="10" t="b">
        <v>0</v>
      </c>
      <c r="J161" s="14" t="s">
        <v>951</v>
      </c>
      <c r="K161" s="16" t="s">
        <v>76</v>
      </c>
      <c r="L161" s="12" t="b">
        <v>0</v>
      </c>
      <c r="M161" s="12" t="str">
        <f t="shared" ref="M161:N161" si="161">SUBSTITUTE(SUBSTITUTE(E161,CHAR(13)&amp;CHAR(10),"¤¤¤"),CHAR(10),"¤¤¤")</f>
        <v>Jedid nefes áv háráḥámán, ¤¤¤mesoḥ ávdeḥá el reconeḥá. ¤¤¤Járuc ávdeḥá kmo ájál, ¤¤¤jistáḥáve el mul hádáreḥá.</v>
      </c>
      <c r="N161" s="12" t="str">
        <f t="shared" si="161"/>
        <v>Am           Dm¤¤¤Jedid nefes áv háráḥámán, ¤¤¤Am           Dm¤¤¤Jedid nefes áv háráḥámán,¤¤¤Dm       C   Dm       Am¤¤¤mesoḥ ávdeḥá el reconeḥá. ¤¤¤Dm    C      Dm          Am¤¤¤Járuc ávdeḥá kmo ájál, ¤¤¤Dm        C  Dm     Am¤¤¤jistáḥáve el mul hádáreḥá.</v>
      </c>
    </row>
    <row r="162" ht="15.0" customHeight="1">
      <c r="A162" s="5" t="s">
        <v>952</v>
      </c>
      <c r="B162" s="5" t="s">
        <v>953</v>
      </c>
      <c r="C162" s="6" t="s">
        <v>954</v>
      </c>
      <c r="D162" s="9"/>
      <c r="E162" s="7" t="s">
        <v>955</v>
      </c>
      <c r="F162" s="17" t="s">
        <v>956</v>
      </c>
      <c r="G162" s="5" t="s">
        <v>864</v>
      </c>
      <c r="H162" s="9" t="str">
        <f t="shared" si="2"/>
        <v>:)</v>
      </c>
      <c r="I162" s="10" t="b">
        <v>0</v>
      </c>
      <c r="J162" s="14" t="s">
        <v>957</v>
      </c>
      <c r="K162" s="16" t="s">
        <v>76</v>
      </c>
      <c r="L162" s="12" t="b">
        <v>0</v>
      </c>
      <c r="M162" s="12" t="str">
        <f t="shared" ref="M162:N162" si="162">SUBSTITUTE(SUBSTITUTE(E162,CHAR(13)&amp;CHAR(10),"¤¤¤"),CHAR(10),"¤¤¤")</f>
        <v>Ávinu málkenu, ḥonenu váánenu,¤¤¤ávinu málkenu, ḥonenu váánenu,¤¤¤ki en bánu máászim.¤¤¤¤¤¤Ászé imánu cedáká váḥeszed,¤¤¤szé imánu cedáká váḥeszed,¤¤¤vehosienu.</v>
      </c>
      <c r="N162" s="12" t="str">
        <f t="shared" si="162"/>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63" ht="15.0" customHeight="1">
      <c r="A163" s="5" t="s">
        <v>958</v>
      </c>
      <c r="B163" s="5" t="s">
        <v>959</v>
      </c>
      <c r="C163" s="6" t="s">
        <v>960</v>
      </c>
      <c r="D163" s="5" t="s">
        <v>961</v>
      </c>
      <c r="E163" s="7" t="s">
        <v>962</v>
      </c>
      <c r="F163" s="17" t="s">
        <v>963</v>
      </c>
      <c r="G163" s="5" t="s">
        <v>864</v>
      </c>
      <c r="H163" s="9" t="str">
        <f t="shared" si="2"/>
        <v>:)</v>
      </c>
      <c r="I163" s="10" t="b">
        <v>0</v>
      </c>
      <c r="J163" s="14" t="s">
        <v>964</v>
      </c>
      <c r="K163" s="16" t="s">
        <v>76</v>
      </c>
      <c r="L163" s="12" t="b">
        <v>0</v>
      </c>
      <c r="M163" s="12" t="str">
        <f t="shared" ref="M163:N163" si="163">SUBSTITUTE(SUBSTITUTE(E163,CHAR(13)&amp;CHAR(10),"¤¤¤"),CHAR(10),"¤¤¤")</f>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N163" s="12" t="str">
        <f t="shared" si="163"/>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64" ht="15.0" customHeight="1">
      <c r="A164" s="5" t="s">
        <v>958</v>
      </c>
      <c r="B164" s="5" t="s">
        <v>965</v>
      </c>
      <c r="C164" s="6" t="s">
        <v>966</v>
      </c>
      <c r="D164" s="5" t="s">
        <v>961</v>
      </c>
      <c r="E164" s="7" t="s">
        <v>967</v>
      </c>
      <c r="F164" s="17" t="s">
        <v>968</v>
      </c>
      <c r="G164" s="5" t="s">
        <v>864</v>
      </c>
      <c r="H164" s="9" t="str">
        <f t="shared" si="2"/>
        <v>:)</v>
      </c>
      <c r="I164" s="10" t="b">
        <v>0</v>
      </c>
      <c r="J164" s="18" t="s">
        <v>969</v>
      </c>
      <c r="K164" s="18" t="s">
        <v>970</v>
      </c>
      <c r="L164" s="23" t="b">
        <v>0</v>
      </c>
      <c r="M164" s="12" t="str">
        <f t="shared" ref="M164:N164" si="164">SUBSTITUTE(SUBSTITUTE(E164,CHAR(13)&amp;CHAR(10),"¤¤¤"),CHAR(10),"¤¤¤")</f>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N164" s="12" t="str">
        <f t="shared" si="16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65" ht="15.0" customHeight="1">
      <c r="A165" s="5" t="s">
        <v>971</v>
      </c>
      <c r="B165" s="5" t="s">
        <v>972</v>
      </c>
      <c r="C165" s="5"/>
      <c r="D165" s="9"/>
      <c r="E165" s="7" t="s">
        <v>973</v>
      </c>
      <c r="F165" s="17" t="s">
        <v>974</v>
      </c>
      <c r="G165" s="5" t="s">
        <v>864</v>
      </c>
      <c r="H165" s="9" t="str">
        <f t="shared" si="2"/>
        <v>:)</v>
      </c>
      <c r="I165" s="10" t="b">
        <v>0</v>
      </c>
      <c r="J165" s="14" t="s">
        <v>975</v>
      </c>
      <c r="K165" s="16" t="s">
        <v>76</v>
      </c>
      <c r="L165" s="12" t="b">
        <v>0</v>
      </c>
      <c r="M165" s="12" t="str">
        <f t="shared" ref="M165:N165" si="165">SUBSTITUTE(SUBSTITUTE(E165,CHAR(13)&amp;CHAR(10),"¤¤¤"),CHAR(10),"¤¤¤")</f>
        <v>Hanuka, hanuka, hanuka van ma,¤¤¤gyúljon ki szívünk mélyén a fény.¤¤¤Hanuka lángja lobogva égjen,¤¤¤világítsa be a sötét éjt.¤¤¤¤¤¤Hanuka, hanuka, hanuka van ma,¤¤¤gyúljon ki szívünk mélyén a fény.¤¤¤Trenderli perdül, víg nóta zendül,¤¤¤szabadság fénye ragyog felénk.</v>
      </c>
      <c r="N165" s="12" t="str">
        <f t="shared" si="165"/>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66" ht="15.0" customHeight="1">
      <c r="A166" s="5" t="s">
        <v>976</v>
      </c>
      <c r="B166" s="5" t="s">
        <v>977</v>
      </c>
      <c r="C166" s="6" t="s">
        <v>978</v>
      </c>
      <c r="D166" s="9"/>
      <c r="E166" s="7" t="s">
        <v>979</v>
      </c>
      <c r="F166" s="17" t="s">
        <v>980</v>
      </c>
      <c r="G166" s="5" t="s">
        <v>864</v>
      </c>
      <c r="H166" s="9" t="str">
        <f t="shared" si="2"/>
        <v>:)</v>
      </c>
      <c r="I166" s="10" t="b">
        <v>0</v>
      </c>
      <c r="J166" s="14" t="s">
        <v>981</v>
      </c>
      <c r="K166" s="16" t="s">
        <v>76</v>
      </c>
      <c r="L166" s="12" t="b">
        <v>0</v>
      </c>
      <c r="M166" s="12" t="str">
        <f t="shared" ref="M166:N166" si="166">SUBSTITUTE(SUBSTITUTE(E166,CHAR(13)&amp;CHAR(10),"¤¤¤"),CHAR(10),"¤¤¤")</f>
        <v>Lesáná hábáá birusálájim¤¤¤Lesáná hábáá birusálájim¤¤¤Lesáná hábáá birusálájim¤¤¤Lesáná hábáá birusálájim hábnujá.</v>
      </c>
      <c r="N166" s="12" t="str">
        <f t="shared" si="166"/>
        <v>Em¤¤¤Lesáná hábáá birusálájim¤¤¤G¤¤¤Lesáná hábáá birusálájim¤¤¤A¤¤¤Lesáná hábáá birusálájim¤¤¤A                  G         Em¤¤¤Lesáná hábáá birusálájim hábnujá.</v>
      </c>
    </row>
    <row r="167" ht="15.0" customHeight="1">
      <c r="A167" s="5" t="s">
        <v>982</v>
      </c>
      <c r="B167" s="5" t="s">
        <v>983</v>
      </c>
      <c r="C167" s="6" t="s">
        <v>984</v>
      </c>
      <c r="D167" s="5" t="s">
        <v>985</v>
      </c>
      <c r="E167" s="7" t="s">
        <v>986</v>
      </c>
      <c r="F167" s="17" t="s">
        <v>987</v>
      </c>
      <c r="G167" s="5" t="s">
        <v>864</v>
      </c>
      <c r="H167" s="9" t="str">
        <f t="shared" si="2"/>
        <v>:)</v>
      </c>
      <c r="I167" s="10" t="b">
        <v>0</v>
      </c>
      <c r="J167" s="14" t="s">
        <v>988</v>
      </c>
      <c r="K167" s="16" t="s">
        <v>76</v>
      </c>
      <c r="L167" s="12" t="b">
        <v>0</v>
      </c>
      <c r="M167" s="12" t="str">
        <f t="shared" ref="M167:N167" si="167">SUBSTITUTE(SUBSTITUTE(E167,CHAR(13)&amp;CHAR(10),"¤¤¤"),CHAR(10),"¤¤¤")</f>
        <v>Má jáfe hájom,¤¤¤sábát sálom.¤¤¤Sábát, sábát sálom.¤¤¤Sábát sálom.</v>
      </c>
      <c r="N167" s="12" t="str">
        <f t="shared" si="167"/>
        <v>G       Am¤¤¤Má jáfe hájom,¤¤¤C     G¤¤¤sábát sálom.¤¤¤G        Am¤¤¤Sábát, sábát sálom.¤¤¤C        G¤¤¤Sábát, sábát sálom.¤¤¤G        Am¤¤¤Sábát, sábát sálom.¤¤¤C      G¤¤¤Sábát sálom.</v>
      </c>
    </row>
    <row r="168" ht="15.0" customHeight="1">
      <c r="A168" s="5" t="s">
        <v>989</v>
      </c>
      <c r="B168" s="5" t="s">
        <v>990</v>
      </c>
      <c r="C168" s="6" t="s">
        <v>991</v>
      </c>
      <c r="D168" s="5"/>
      <c r="E168" s="7" t="s">
        <v>992</v>
      </c>
      <c r="F168" s="17" t="s">
        <v>993</v>
      </c>
      <c r="G168" s="5" t="s">
        <v>864</v>
      </c>
      <c r="H168" s="9" t="str">
        <f t="shared" si="2"/>
        <v>:)</v>
      </c>
      <c r="I168" s="10" t="b">
        <v>0</v>
      </c>
      <c r="J168" s="14" t="s">
        <v>994</v>
      </c>
      <c r="K168" s="16" t="s">
        <v>76</v>
      </c>
      <c r="L168" s="12" t="b">
        <v>0</v>
      </c>
      <c r="M168" s="12" t="str">
        <f t="shared" ref="M168:N168" si="168">SUBSTITUTE(SUBSTITUTE(E168,CHAR(13)&amp;CHAR(10),"¤¤¤"),CHAR(10),"¤¤¤")</f>
        <v>Szimen tov umázel tov, umázel tov uszimen tov,¤¤¤szimen tov umázel tov, umázel tov uszimen tov,¤¤¤szimen tov umázel tov, umázel tov uszimen tov jehe lánu.¤¤¤Jehe lánu, jehe lánu ulekol Jiszráel,¤¤¤jehe lánu, jehe lánu ulekol Jiszráel!</v>
      </c>
      <c r="N168" s="12" t="str">
        <f t="shared" si="168"/>
        <v>D¤¤¤Szimen tov umázel tov, umázel tov uszimen tov,¤¤¤F¤¤¤szimen tov umázel tov, umázel tov uszimen tov,¤¤¤G                                             D    C  G¤¤¤szimen tov umázel tov, umázel tov uszimen tov jehe lánu.¤¤¤¤¤¤F            B     F B  F         D¤¤¤Jehe lánu, jehe lánu ulekol Jiszráel,¤¤¤F            B     F B  F         F¤¤¤jehe lánu, jehe lánu ulekol Jiszráel!</v>
      </c>
    </row>
    <row r="169" ht="15.0" customHeight="1">
      <c r="A169" s="5" t="s">
        <v>995</v>
      </c>
      <c r="B169" s="5" t="s">
        <v>996</v>
      </c>
      <c r="C169" s="6"/>
      <c r="D169" s="5" t="s">
        <v>997</v>
      </c>
      <c r="E169" s="7" t="s">
        <v>998</v>
      </c>
      <c r="F169" s="8" t="s">
        <v>999</v>
      </c>
      <c r="G169" s="5" t="s">
        <v>864</v>
      </c>
      <c r="H169" s="9" t="str">
        <f t="shared" si="2"/>
        <v>:)</v>
      </c>
      <c r="I169" s="10" t="b">
        <v>0</v>
      </c>
      <c r="J169" s="14" t="s">
        <v>1000</v>
      </c>
      <c r="K169" s="16" t="s">
        <v>76</v>
      </c>
      <c r="L169" s="12" t="b">
        <v>0</v>
      </c>
      <c r="M169" s="12" t="str">
        <f t="shared" ref="M169:N169" si="169">SUBSTITUTE(SUBSTITUTE(E169,CHAR(13)&amp;CHAR(10),"¤¤¤"),CHAR(10),"¤¤¤")</f>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N169" s="12" t="str">
        <f t="shared" si="169"/>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70" ht="15.0" customHeight="1">
      <c r="A170" s="5" t="s">
        <v>1001</v>
      </c>
      <c r="B170" s="5" t="s">
        <v>1002</v>
      </c>
      <c r="C170" s="6" t="s">
        <v>1003</v>
      </c>
      <c r="D170" s="5" t="s">
        <v>1004</v>
      </c>
      <c r="E170" s="7" t="s">
        <v>1005</v>
      </c>
      <c r="F170" s="8" t="s">
        <v>1006</v>
      </c>
      <c r="G170" s="5" t="s">
        <v>864</v>
      </c>
      <c r="H170" s="9" t="str">
        <f t="shared" si="2"/>
        <v>:)</v>
      </c>
      <c r="I170" s="10" t="b">
        <v>0</v>
      </c>
      <c r="J170" s="14" t="s">
        <v>1007</v>
      </c>
      <c r="K170" s="16" t="s">
        <v>76</v>
      </c>
      <c r="L170" s="16" t="b">
        <v>0</v>
      </c>
      <c r="M170" s="12" t="str">
        <f t="shared" ref="M170:N170" si="170">SUBSTITUTE(SUBSTITUTE(E170,CHAR(13)&amp;CHAR(10),"¤¤¤"),CHAR(10),"¤¤¤")</f>
        <v>Im HaShem Lo Jivneh Báit¤¤¤Sav Ámlu Bonáv Bo¤¤¤Im HaShem Lo Jismor Ír¤¤¤Sav Sakád Shomér¤¤¤¤¤¤Hinei Hinei Lo Janum¤¤¤Lo Janum ve Lo Jisan¤¤¤Lo Janum ve Lo Jisan¤¤¤Shomér Jiszráél</v>
      </c>
      <c r="N170" s="12" t="str">
        <f t="shared" si="170"/>
        <v>Hm¤¤¤Im HaShem Lo Jivneh Báit¤¤¤Em¤¤¤Sav Ámlu Bonáv Bo¤¤¤Em¤¤¤Im HaShem Lo Jismor Ír¤¤¤    F#m   Hm¤¤¤Sav Sakád Shomér¤¤¤¤¤¤Hm¤¤¤Hinei Hinei Lo Janum¤¤¤            Em¤¤¤Lo Janum ve Lo Jisan¤¤¤            Em¤¤¤Lo Janum ve Lo Jisan¤¤¤F#m¤¤¤Shomér Jiszráél</v>
      </c>
    </row>
    <row r="171" ht="15.0" customHeight="1">
      <c r="A171" s="5" t="s">
        <v>1008</v>
      </c>
      <c r="B171" s="5" t="s">
        <v>1009</v>
      </c>
      <c r="C171" s="6"/>
      <c r="D171" s="5"/>
      <c r="E171" s="7" t="s">
        <v>1010</v>
      </c>
      <c r="F171" s="8"/>
      <c r="G171" s="5" t="s">
        <v>864</v>
      </c>
      <c r="H171" s="9">
        <f t="shared" si="2"/>
        <v>1</v>
      </c>
      <c r="I171" s="10" t="b">
        <v>0</v>
      </c>
      <c r="J171" s="21"/>
      <c r="K171" s="21"/>
      <c r="L171" s="21" t="b">
        <v>0</v>
      </c>
      <c r="M171" s="10" t="str">
        <f t="shared" ref="M171:N171" si="171">SUBSTITUTE(SUBSTITUTE(E171,CHAR(13)&amp;CHAR(10),"¤¤¤"),CHAR(10),"¤¤¤")</f>
        <v>Kseomár: Lechá dodi¤¤¤Tomru kulchem: Csiri-biri-bom¤¤¤Kseomár: Likrát kálá¤¤¤Tomru kulchem: csiri-biri-bom¤¤¤¤¤¤Lechá dodi – csiri-biri-bom¤¤¤likrát káláh – csiri-biri-bom¤¤¤¤¤¤Lecha dodi, likrát kálá¤¤¤csiri-biri-biri-biri-bom¤¤¤csiri-bim…</v>
      </c>
      <c r="N171" s="10" t="str">
        <f t="shared" si="171"/>
        <v/>
      </c>
    </row>
  </sheetData>
  <conditionalFormatting sqref="H2:H171">
    <cfRule type="cellIs" dxfId="0" priority="1" operator="notEqual">
      <formula>":)"</formula>
    </cfRule>
  </conditionalFormatting>
  <conditionalFormatting sqref="H2:H171">
    <cfRule type="cellIs" dxfId="1" priority="2" operator="equal">
      <formula>":)"</formula>
    </cfRule>
  </conditionalFormatting>
  <conditionalFormatting sqref="E1:E171 F40:F41">
    <cfRule type="expression" dxfId="2" priority="3">
      <formula>LEN(E1)&gt;999</formula>
    </cfRule>
  </conditionalFormatting>
  <dataValidations>
    <dataValidation type="list" allowBlank="1" showErrorMessage="1" sqref="G2:G171">
      <formula1>Data!$A$2:$A$8</formula1>
    </dataValidation>
  </dataValidations>
  <hyperlinks>
    <hyperlink r:id="rId1" ref="J2"/>
    <hyperlink r:id="rId2" ref="K2"/>
    <hyperlink r:id="rId3" ref="J3"/>
    <hyperlink r:id="rId4" ref="K3"/>
    <hyperlink r:id="rId5" ref="J4"/>
    <hyperlink r:id="rId6" ref="K4"/>
    <hyperlink r:id="rId7" ref="J5"/>
    <hyperlink r:id="rId8" ref="K5"/>
    <hyperlink r:id="rId9" ref="J6"/>
    <hyperlink r:id="rId10" ref="K6"/>
    <hyperlink r:id="rId11" ref="J7"/>
    <hyperlink r:id="rId12" ref="K7"/>
    <hyperlink r:id="rId13" ref="J8"/>
    <hyperlink r:id="rId14" ref="K8"/>
    <hyperlink r:id="rId15" ref="J9"/>
    <hyperlink r:id="rId16" ref="J10"/>
    <hyperlink r:id="rId17" ref="K10"/>
    <hyperlink r:id="rId18" ref="J11"/>
    <hyperlink r:id="rId19" ref="J12"/>
    <hyperlink r:id="rId20" ref="K12"/>
    <hyperlink r:id="rId21" ref="J13"/>
    <hyperlink r:id="rId22" ref="J14"/>
    <hyperlink r:id="rId23" ref="K14"/>
    <hyperlink r:id="rId24" ref="J15"/>
    <hyperlink r:id="rId25" ref="J16"/>
    <hyperlink r:id="rId26" ref="K16"/>
    <hyperlink r:id="rId27" ref="J17"/>
    <hyperlink r:id="rId28" ref="K17"/>
    <hyperlink r:id="rId29" ref="J18"/>
    <hyperlink r:id="rId30" ref="K18"/>
    <hyperlink r:id="rId31" ref="J19"/>
    <hyperlink r:id="rId32" ref="K19"/>
    <hyperlink r:id="rId33" ref="J20"/>
    <hyperlink r:id="rId34" ref="K20"/>
    <hyperlink r:id="rId35" ref="J21"/>
    <hyperlink r:id="rId36" ref="K21"/>
    <hyperlink r:id="rId37" ref="J22"/>
    <hyperlink r:id="rId38" ref="K22"/>
    <hyperlink r:id="rId39" ref="J23"/>
    <hyperlink r:id="rId40" ref="K23"/>
    <hyperlink r:id="rId41" ref="J24"/>
    <hyperlink r:id="rId42" ref="K24"/>
    <hyperlink r:id="rId43" ref="J25"/>
    <hyperlink r:id="rId44" ref="K25"/>
    <hyperlink r:id="rId45" ref="J26"/>
    <hyperlink r:id="rId46" ref="K26"/>
    <hyperlink r:id="rId47" ref="J27"/>
    <hyperlink r:id="rId48" ref="K27"/>
    <hyperlink r:id="rId49" ref="J28"/>
    <hyperlink r:id="rId50" ref="K28"/>
    <hyperlink r:id="rId51" ref="J29"/>
    <hyperlink r:id="rId52" ref="K29"/>
    <hyperlink r:id="rId53" ref="J30"/>
    <hyperlink r:id="rId54" ref="K30"/>
    <hyperlink r:id="rId55" ref="J31"/>
    <hyperlink r:id="rId56" ref="K31"/>
    <hyperlink r:id="rId57" ref="J32"/>
    <hyperlink r:id="rId58" ref="K32"/>
    <hyperlink r:id="rId59" ref="J33"/>
    <hyperlink r:id="rId60" ref="K33"/>
    <hyperlink r:id="rId61" ref="J34"/>
    <hyperlink r:id="rId62" ref="K34"/>
    <hyperlink r:id="rId63" ref="J35"/>
    <hyperlink r:id="rId64" ref="K35"/>
    <hyperlink r:id="rId65" ref="J36"/>
    <hyperlink r:id="rId66" ref="K36"/>
    <hyperlink r:id="rId67" ref="J37"/>
    <hyperlink r:id="rId68" ref="K37"/>
    <hyperlink r:id="rId69" ref="J38"/>
    <hyperlink r:id="rId70" ref="K38"/>
    <hyperlink r:id="rId71" ref="J39"/>
    <hyperlink r:id="rId72" ref="K39"/>
    <hyperlink r:id="rId73" ref="K42"/>
    <hyperlink r:id="rId74" ref="K43"/>
    <hyperlink r:id="rId75" ref="J45"/>
    <hyperlink r:id="rId76" ref="J46"/>
    <hyperlink r:id="rId77" ref="J47"/>
    <hyperlink r:id="rId78" ref="J48"/>
    <hyperlink r:id="rId79" ref="J49"/>
    <hyperlink r:id="rId80" ref="J50"/>
    <hyperlink r:id="rId81" ref="J51"/>
    <hyperlink r:id="rId82" ref="K51"/>
    <hyperlink r:id="rId83" ref="J52"/>
    <hyperlink r:id="rId84" ref="K52"/>
    <hyperlink r:id="rId85" ref="J53"/>
    <hyperlink r:id="rId86" ref="K53"/>
    <hyperlink r:id="rId87" ref="J54"/>
    <hyperlink r:id="rId88" ref="K54"/>
    <hyperlink r:id="rId89" ref="J55"/>
    <hyperlink r:id="rId90" ref="K55"/>
    <hyperlink r:id="rId91" ref="J56"/>
    <hyperlink r:id="rId92" ref="J57"/>
    <hyperlink r:id="rId93" ref="K57"/>
    <hyperlink r:id="rId94" ref="J58"/>
    <hyperlink r:id="rId95" ref="K58"/>
    <hyperlink r:id="rId96" ref="J59"/>
    <hyperlink r:id="rId97" ref="K59"/>
    <hyperlink r:id="rId98" ref="J60"/>
    <hyperlink r:id="rId99" ref="K60"/>
    <hyperlink r:id="rId100" ref="J61"/>
    <hyperlink r:id="rId101" ref="K61"/>
    <hyperlink r:id="rId102" ref="J62"/>
    <hyperlink r:id="rId103" ref="K62"/>
    <hyperlink r:id="rId104" ref="J63"/>
    <hyperlink r:id="rId105" ref="K63"/>
    <hyperlink r:id="rId106" ref="J64"/>
    <hyperlink r:id="rId107" ref="K64"/>
    <hyperlink r:id="rId108" ref="J65"/>
    <hyperlink r:id="rId109" ref="K65"/>
    <hyperlink r:id="rId110" ref="J66"/>
    <hyperlink r:id="rId111" ref="K66"/>
    <hyperlink r:id="rId112" ref="J67"/>
    <hyperlink r:id="rId113" ref="K67"/>
    <hyperlink r:id="rId114" ref="J68"/>
    <hyperlink r:id="rId115" ref="K68"/>
    <hyperlink r:id="rId116" ref="J69"/>
    <hyperlink r:id="rId117" ref="K69"/>
    <hyperlink r:id="rId118" ref="J70"/>
    <hyperlink r:id="rId119" ref="K70"/>
    <hyperlink r:id="rId120" ref="J71"/>
    <hyperlink r:id="rId121" ref="K71"/>
    <hyperlink r:id="rId122" ref="J72"/>
    <hyperlink r:id="rId123" ref="K72"/>
    <hyperlink r:id="rId124" ref="J73"/>
    <hyperlink r:id="rId125" ref="K73"/>
    <hyperlink r:id="rId126" ref="J74"/>
    <hyperlink r:id="rId127" ref="K74"/>
    <hyperlink r:id="rId128" ref="J75"/>
    <hyperlink r:id="rId129" ref="K75"/>
    <hyperlink r:id="rId130" ref="J76"/>
    <hyperlink r:id="rId131" ref="K76"/>
    <hyperlink r:id="rId132" ref="J77"/>
    <hyperlink r:id="rId133" ref="K77"/>
    <hyperlink r:id="rId134" ref="J78"/>
    <hyperlink r:id="rId135" ref="K78"/>
    <hyperlink r:id="rId136" ref="J79"/>
    <hyperlink r:id="rId137" ref="K79"/>
    <hyperlink r:id="rId138" ref="J80"/>
    <hyperlink r:id="rId139" ref="K80"/>
    <hyperlink r:id="rId140" ref="J81"/>
    <hyperlink r:id="rId141" ref="K81"/>
    <hyperlink r:id="rId142" ref="J82"/>
    <hyperlink r:id="rId143" ref="K82"/>
    <hyperlink r:id="rId144" ref="J83"/>
    <hyperlink r:id="rId145" ref="K83"/>
    <hyperlink r:id="rId146" ref="J84"/>
    <hyperlink r:id="rId147" ref="K84"/>
    <hyperlink r:id="rId148" ref="J85"/>
    <hyperlink r:id="rId149" ref="K85"/>
    <hyperlink r:id="rId150" ref="J86"/>
    <hyperlink r:id="rId151" ref="K86"/>
    <hyperlink r:id="rId152" ref="J87"/>
    <hyperlink r:id="rId153" ref="K87"/>
    <hyperlink r:id="rId154" ref="J88"/>
    <hyperlink r:id="rId155" ref="K88"/>
    <hyperlink r:id="rId156" ref="J89"/>
    <hyperlink r:id="rId157" ref="K89"/>
    <hyperlink r:id="rId158" ref="J90"/>
    <hyperlink r:id="rId159" ref="K90"/>
    <hyperlink r:id="rId160" ref="J91"/>
    <hyperlink r:id="rId161" ref="K91"/>
    <hyperlink r:id="rId162" ref="J92"/>
    <hyperlink r:id="rId163" ref="K92"/>
    <hyperlink r:id="rId164" ref="J93"/>
    <hyperlink r:id="rId165" ref="K93"/>
    <hyperlink r:id="rId166" ref="J94"/>
    <hyperlink r:id="rId167" ref="K94"/>
    <hyperlink r:id="rId168" ref="J95"/>
    <hyperlink r:id="rId169" ref="K95"/>
    <hyperlink r:id="rId170" ref="J96"/>
    <hyperlink r:id="rId171" ref="K96"/>
    <hyperlink r:id="rId172" ref="J97"/>
    <hyperlink r:id="rId173" ref="K97"/>
    <hyperlink r:id="rId174" ref="J98"/>
    <hyperlink r:id="rId175" ref="K98"/>
    <hyperlink r:id="rId176" ref="J99"/>
    <hyperlink r:id="rId177" ref="K99"/>
    <hyperlink r:id="rId178" ref="J100"/>
    <hyperlink r:id="rId179" ref="K100"/>
    <hyperlink r:id="rId180" ref="J101"/>
    <hyperlink r:id="rId181" ref="K101"/>
    <hyperlink r:id="rId182" ref="J102"/>
    <hyperlink r:id="rId183" ref="J103"/>
    <hyperlink r:id="rId184" ref="J104"/>
    <hyperlink r:id="rId185" ref="K104"/>
    <hyperlink r:id="rId186" ref="J105"/>
    <hyperlink r:id="rId187" ref="K105"/>
    <hyperlink r:id="rId188" ref="J106"/>
    <hyperlink r:id="rId189" ref="K106"/>
    <hyperlink r:id="rId190" ref="J107"/>
    <hyperlink r:id="rId191" ref="K107"/>
    <hyperlink r:id="rId192" ref="J108"/>
    <hyperlink r:id="rId193" ref="K108"/>
    <hyperlink r:id="rId194" ref="J109"/>
    <hyperlink r:id="rId195" ref="K109"/>
    <hyperlink r:id="rId196" ref="J110"/>
    <hyperlink r:id="rId197" ref="K110"/>
    <hyperlink r:id="rId198" ref="J111"/>
    <hyperlink r:id="rId199" ref="K111"/>
    <hyperlink r:id="rId200" ref="J112"/>
    <hyperlink r:id="rId201" ref="K112"/>
    <hyperlink r:id="rId202" ref="J113"/>
    <hyperlink r:id="rId203" ref="K113"/>
    <hyperlink r:id="rId204" ref="J114"/>
    <hyperlink r:id="rId205" ref="K114"/>
    <hyperlink r:id="rId206" ref="J115"/>
    <hyperlink r:id="rId207" ref="K115"/>
    <hyperlink r:id="rId208" ref="J116"/>
    <hyperlink r:id="rId209" ref="K116"/>
    <hyperlink r:id="rId210" ref="J117"/>
    <hyperlink r:id="rId211" ref="K117"/>
    <hyperlink r:id="rId212" ref="J118"/>
    <hyperlink r:id="rId213" ref="J119"/>
    <hyperlink r:id="rId214" ref="K119"/>
    <hyperlink r:id="rId215" ref="J120"/>
    <hyperlink r:id="rId216" ref="J121"/>
    <hyperlink r:id="rId217" ref="K121"/>
    <hyperlink r:id="rId218" ref="J122"/>
    <hyperlink r:id="rId219" ref="K122"/>
    <hyperlink r:id="rId220" ref="J123"/>
    <hyperlink r:id="rId221" ref="K123"/>
    <hyperlink r:id="rId222" ref="J124"/>
    <hyperlink r:id="rId223" ref="K124"/>
    <hyperlink r:id="rId224" ref="J125"/>
    <hyperlink r:id="rId225" ref="K125"/>
    <hyperlink r:id="rId226" ref="J126"/>
    <hyperlink r:id="rId227" ref="K126"/>
    <hyperlink r:id="rId228" ref="J127"/>
    <hyperlink r:id="rId229" ref="K127"/>
    <hyperlink r:id="rId230" ref="J128"/>
    <hyperlink r:id="rId231" ref="K128"/>
    <hyperlink r:id="rId232" ref="J129"/>
    <hyperlink r:id="rId233" ref="K129"/>
    <hyperlink r:id="rId234" ref="J130"/>
    <hyperlink r:id="rId235" ref="K130"/>
    <hyperlink r:id="rId236" ref="J131"/>
    <hyperlink r:id="rId237" ref="K131"/>
    <hyperlink r:id="rId238" ref="J132"/>
    <hyperlink r:id="rId239" ref="K132"/>
    <hyperlink r:id="rId240" ref="J133"/>
    <hyperlink r:id="rId241" ref="K133"/>
    <hyperlink r:id="rId242" ref="J134"/>
    <hyperlink r:id="rId243" ref="K134"/>
    <hyperlink r:id="rId244" ref="J135"/>
    <hyperlink r:id="rId245" ref="K135"/>
    <hyperlink r:id="rId246" ref="J136"/>
    <hyperlink r:id="rId247" ref="K136"/>
    <hyperlink r:id="rId248" ref="J137"/>
    <hyperlink r:id="rId249" ref="K137"/>
    <hyperlink r:id="rId250" ref="J138"/>
    <hyperlink r:id="rId251" ref="K138"/>
    <hyperlink r:id="rId252" ref="J139"/>
    <hyperlink r:id="rId253" ref="K139"/>
    <hyperlink r:id="rId254" ref="J140"/>
    <hyperlink r:id="rId255" ref="K140"/>
    <hyperlink r:id="rId256" ref="J141"/>
    <hyperlink r:id="rId257" ref="K141"/>
    <hyperlink r:id="rId258" ref="J142"/>
    <hyperlink r:id="rId259" ref="K142"/>
    <hyperlink r:id="rId260" ref="J143"/>
    <hyperlink r:id="rId261" ref="K143"/>
    <hyperlink r:id="rId262" ref="J144"/>
    <hyperlink r:id="rId263" ref="K144"/>
    <hyperlink r:id="rId264" ref="J145"/>
    <hyperlink r:id="rId265" ref="K145"/>
    <hyperlink r:id="rId266" ref="J146"/>
    <hyperlink r:id="rId267" ref="J147"/>
    <hyperlink r:id="rId268" ref="K147"/>
    <hyperlink r:id="rId269" ref="J148"/>
    <hyperlink r:id="rId270" ref="K148"/>
    <hyperlink r:id="rId271" ref="J149"/>
    <hyperlink r:id="rId272" ref="K149"/>
    <hyperlink r:id="rId273" ref="J150"/>
    <hyperlink r:id="rId274" ref="J151"/>
    <hyperlink r:id="rId275" ref="K151"/>
    <hyperlink r:id="rId276" ref="J152"/>
    <hyperlink r:id="rId277" ref="J153"/>
    <hyperlink r:id="rId278" ref="J154"/>
    <hyperlink r:id="rId279" ref="J155"/>
    <hyperlink r:id="rId280" ref="J156"/>
    <hyperlink r:id="rId281" ref="J157"/>
    <hyperlink r:id="rId282" ref="K157"/>
    <hyperlink r:id="rId283" ref="J158"/>
    <hyperlink r:id="rId284" ref="J159"/>
    <hyperlink r:id="rId285" ref="J160"/>
    <hyperlink r:id="rId286" ref="K160"/>
    <hyperlink r:id="rId287" ref="J161"/>
    <hyperlink r:id="rId288" ref="J162"/>
    <hyperlink r:id="rId289" ref="J163"/>
    <hyperlink r:id="rId290" ref="J164"/>
    <hyperlink r:id="rId291" ref="K164"/>
    <hyperlink r:id="rId292" ref="J165"/>
    <hyperlink r:id="rId293" ref="J166"/>
    <hyperlink r:id="rId294" ref="J167"/>
    <hyperlink r:id="rId295" ref="J168"/>
    <hyperlink r:id="rId296" ref="J169"/>
    <hyperlink r:id="rId297" ref="J170"/>
  </hyperlinks>
  <printOptions/>
  <pageMargins bottom="0.75" footer="0.0" header="0.0" left="0.7" right="0.7" top="0.75"/>
  <pageSetup paperSize="9" orientation="portrait"/>
  <drawing r:id="rId2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19" t="s">
        <v>1011</v>
      </c>
      <c r="B1" s="19" t="s">
        <v>1012</v>
      </c>
      <c r="C1" s="19" t="s">
        <v>1013</v>
      </c>
      <c r="D1" s="19" t="s">
        <v>1014</v>
      </c>
      <c r="E1" s="19" t="s">
        <v>1015</v>
      </c>
      <c r="F1" s="19" t="s">
        <v>1016</v>
      </c>
      <c r="G1" s="19" t="s">
        <v>1017</v>
      </c>
      <c r="H1" s="16" t="s">
        <v>1018</v>
      </c>
      <c r="I1" s="16" t="s">
        <v>1019</v>
      </c>
      <c r="J1" s="16" t="s">
        <v>1020</v>
      </c>
      <c r="K1" s="26" t="s">
        <v>1021</v>
      </c>
      <c r="L1" s="26" t="s">
        <v>1022</v>
      </c>
      <c r="M1" s="26" t="s">
        <v>1023</v>
      </c>
      <c r="N1" s="26" t="s">
        <v>1024</v>
      </c>
    </row>
    <row r="2" ht="15.75" hidden="1" customHeight="1">
      <c r="A2" s="27" t="str">
        <f>IFERROR(__xludf.DUMMYFUNCTION("QUERY(Siron!A2:N765, ""Select A, B, C, J, K, F, H order by A asc"", -1)"),"H01")</f>
        <v>H01</v>
      </c>
      <c r="B2" s="27" t="str">
        <f>IFERROR(__xludf.DUMMYFUNCTION("""COMPUTED_VALUE"""),"Hátikvá")</f>
        <v>Hátikvá</v>
      </c>
      <c r="C2" s="27" t="str">
        <f>IFERROR(__xludf.DUMMYFUNCTION("""COMPUTED_VALUE"""),"התקווה")</f>
        <v>התקווה</v>
      </c>
      <c r="D2" s="28" t="str">
        <f>IFERROR(__xludf.DUMMYFUNCTION("""COMPUTED_VALUE"""),"https://www.youtube.com/watch?v=-oWj-ddDr_E")</f>
        <v>https://www.youtube.com/watch?v=-oWj-ddDr_E</v>
      </c>
      <c r="E2" s="28" t="str">
        <f>IFERROR(__xludf.DUMMYFUNCTION("""COMPUTED_VALUE"""),"https://www.youtube.com/watch?v=-oWj-ddDr_E")</f>
        <v>https://www.youtube.com/watch?v=-oWj-ddDr_E</v>
      </c>
      <c r="F2" s="27"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c r="G2" s="27" t="str">
        <f>IFERROR(__xludf.DUMMYFUNCTION("""COMPUTED_VALUE"""),":)")</f>
        <v>:)</v>
      </c>
      <c r="H2" s="22">
        <f t="shared" ref="H2:I2" si="1">LEN(D2)</f>
        <v>43</v>
      </c>
      <c r="I2" s="22">
        <f t="shared" si="1"/>
        <v>43</v>
      </c>
      <c r="J2" s="12">
        <f t="shared" ref="J2:J152" si="3"> LEN(D2) - LEN(SUBSTITUTE(D2, CHAR(10), "")) + 1 * COUNTA(D2) </f>
        <v>1</v>
      </c>
      <c r="K2" s="12" t="str">
        <f>VLOOKUP(F2,Data!$A$2:$C$12,3,false)</f>
        <v>#N/A</v>
      </c>
      <c r="L2" s="12" t="str">
        <f>IF(G2,Data!$G$4,Data!$G$5)</f>
        <v>#VALUE!</v>
      </c>
      <c r="M2" s="22" t="str">
        <f>VLOOKUP(F2,Data!$A$2:$E$12,4,false)</f>
        <v>#N/A</v>
      </c>
      <c r="N2" s="22" t="str">
        <f>VLOOKUP(F2,Data!$A$2:$E$12,5,false)</f>
        <v>#N/A</v>
      </c>
    </row>
    <row r="3" ht="15.75" hidden="1" customHeight="1">
      <c r="A3" s="27" t="str">
        <f>IFERROR(__xludf.DUMMYFUNCTION("""COMPUTED_VALUE"""),"H02")</f>
        <v>H02</v>
      </c>
      <c r="B3" s="27" t="str">
        <f>IFERROR(__xludf.DUMMYFUNCTION("""COMPUTED_VALUE"""),"Jerusalaim sel záháv")</f>
        <v>Jerusalaim sel záháv</v>
      </c>
      <c r="C3" s="27" t="str">
        <f>IFERROR(__xludf.DUMMYFUNCTION("""COMPUTED_VALUE"""),"ירושלים של זהב")</f>
        <v>ירושלים של זהב</v>
      </c>
      <c r="D3" s="28" t="str">
        <f>IFERROR(__xludf.DUMMYFUNCTION("""COMPUTED_VALUE"""),"https://www.youtube.com/watch?v=2wfvdyQqRaA")</f>
        <v>https://www.youtube.com/watch?v=2wfvdyQqRaA</v>
      </c>
      <c r="E3" s="28" t="str">
        <f>IFERROR(__xludf.DUMMYFUNCTION("""COMPUTED_VALUE"""),"https://www.youtube.com/watch?v=2wfvdyQqRaA")</f>
        <v>https://www.youtube.com/watch?v=2wfvdyQqRaA</v>
      </c>
      <c r="F3" s="27"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c r="G3" s="27" t="str">
        <f>IFERROR(__xludf.DUMMYFUNCTION("""COMPUTED_VALUE"""),":)")</f>
        <v>:)</v>
      </c>
      <c r="H3" s="22">
        <f t="shared" ref="H3:I3" si="2">LEN(D3)</f>
        <v>43</v>
      </c>
      <c r="I3" s="22">
        <f t="shared" si="2"/>
        <v>43</v>
      </c>
      <c r="J3" s="12">
        <f t="shared" si="3"/>
        <v>1</v>
      </c>
      <c r="K3" s="12" t="str">
        <f>VLOOKUP(F3,Data!$A$2:$C$12,3,false)</f>
        <v>#N/A</v>
      </c>
      <c r="L3" s="12" t="str">
        <f>IF(G3,Data!$G$4,Data!$G$5)</f>
        <v>#VALUE!</v>
      </c>
      <c r="M3" s="22" t="str">
        <f>VLOOKUP(F3,Data!$A$2:$E$12,4,false)</f>
        <v>#N/A</v>
      </c>
      <c r="N3" s="22" t="str">
        <f>VLOOKUP(F3,Data!$A$2:$E$12,5,false)</f>
        <v>#N/A</v>
      </c>
    </row>
    <row r="4" ht="15.75" hidden="1" customHeight="1">
      <c r="A4" s="27" t="str">
        <f>IFERROR(__xludf.DUMMYFUNCTION("""COMPUTED_VALUE"""),"H03")</f>
        <v>H03</v>
      </c>
      <c r="B4" s="27" t="str">
        <f>IFERROR(__xludf.DUMMYFUNCTION("""COMPUTED_VALUE"""),"Áni ve ata")</f>
        <v>Áni ve ata</v>
      </c>
      <c r="C4" s="27" t="str">
        <f>IFERROR(__xludf.DUMMYFUNCTION("""COMPUTED_VALUE"""),"אני ואתה")</f>
        <v>אני ואתה</v>
      </c>
      <c r="D4" s="28" t="str">
        <f>IFERROR(__xludf.DUMMYFUNCTION("""COMPUTED_VALUE"""),"https://www.youtube.com/watch?v=gP6PS-poyMg")</f>
        <v>https://www.youtube.com/watch?v=gP6PS-poyMg</v>
      </c>
      <c r="E4" s="28" t="str">
        <f>IFERROR(__xludf.DUMMYFUNCTION("""COMPUTED_VALUE"""),"https://www.youtube.com/watch?v=ETqJxlBrQbc")</f>
        <v>https://www.youtube.com/watch?v=ETqJxlBrQbc</v>
      </c>
      <c r="F4" s="27"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c r="G4" s="27" t="str">
        <f>IFERROR(__xludf.DUMMYFUNCTION("""COMPUTED_VALUE"""),":)")</f>
        <v>:)</v>
      </c>
      <c r="H4" s="22">
        <f t="shared" ref="H4:I4" si="4">LEN(D4)</f>
        <v>43</v>
      </c>
      <c r="I4" s="22">
        <f t="shared" si="4"/>
        <v>43</v>
      </c>
      <c r="J4" s="12">
        <f t="shared" si="3"/>
        <v>1</v>
      </c>
      <c r="K4" s="12" t="str">
        <f>VLOOKUP(F4,Data!$A$2:$C$12,3,false)</f>
        <v>#N/A</v>
      </c>
      <c r="L4" s="12" t="str">
        <f>IF(G4,Data!$G$4,Data!$G$5)</f>
        <v>#VALUE!</v>
      </c>
      <c r="M4" s="22" t="str">
        <f>VLOOKUP(F4,Data!$A$2:$E$12,4,false)</f>
        <v>#N/A</v>
      </c>
      <c r="N4" s="22" t="str">
        <f>VLOOKUP(F4,Data!$A$2:$E$12,5,false)</f>
        <v>#N/A</v>
      </c>
    </row>
    <row r="5" ht="15.75" hidden="1" customHeight="1">
      <c r="A5" s="27" t="str">
        <f>IFERROR(__xludf.DUMMYFUNCTION("""COMPUTED_VALUE"""),"H04")</f>
        <v>H04</v>
      </c>
      <c r="B5" s="27" t="str">
        <f>IFERROR(__xludf.DUMMYFUNCTION("""COMPUTED_VALUE"""),"Básáná hábáá")</f>
        <v>Básáná hábáá</v>
      </c>
      <c r="C5" s="27" t="str">
        <f>IFERROR(__xludf.DUMMYFUNCTION("""COMPUTED_VALUE"""),"בשנה הבאה")</f>
        <v>בשנה הבאה</v>
      </c>
      <c r="D5" s="28" t="str">
        <f>IFERROR(__xludf.DUMMYFUNCTION("""COMPUTED_VALUE"""),"https://www.youtube.com/watch?v=0dcAjl3GVs8")</f>
        <v>https://www.youtube.com/watch?v=0dcAjl3GVs8</v>
      </c>
      <c r="E5" s="28" t="str">
        <f>IFERROR(__xludf.DUMMYFUNCTION("""COMPUTED_VALUE"""),"https://www.youtube.com/watch?v=xmZ5OTqN9nY")</f>
        <v>https://www.youtube.com/watch?v=xmZ5OTqN9nY</v>
      </c>
      <c r="F5" s="27"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c r="G5" s="27" t="str">
        <f>IFERROR(__xludf.DUMMYFUNCTION("""COMPUTED_VALUE"""),":)")</f>
        <v>:)</v>
      </c>
      <c r="H5" s="22">
        <f t="shared" ref="H5:I5" si="5">LEN(D5)</f>
        <v>43</v>
      </c>
      <c r="I5" s="22">
        <f t="shared" si="5"/>
        <v>43</v>
      </c>
      <c r="J5" s="12">
        <f t="shared" si="3"/>
        <v>1</v>
      </c>
      <c r="K5" s="12" t="str">
        <f>VLOOKUP(F5,Data!$A$2:$C$12,3,false)</f>
        <v>#N/A</v>
      </c>
      <c r="L5" s="12" t="str">
        <f>IF(G5,Data!$G$4,Data!$G$5)</f>
        <v>#VALUE!</v>
      </c>
      <c r="M5" s="22" t="str">
        <f>VLOOKUP(F5,Data!$A$2:$E$12,4,false)</f>
        <v>#N/A</v>
      </c>
      <c r="N5" s="22" t="str">
        <f>VLOOKUP(F5,Data!$A$2:$E$12,5,false)</f>
        <v>#N/A</v>
      </c>
    </row>
    <row r="6" ht="15.75" hidden="1" customHeight="1">
      <c r="A6" s="27" t="str">
        <f>IFERROR(__xludf.DUMMYFUNCTION("""COMPUTED_VALUE"""),"H05")</f>
        <v>H05</v>
      </c>
      <c r="B6" s="27" t="str">
        <f>IFERROR(__xludf.DUMMYFUNCTION("""COMPUTED_VALUE"""),"Bói")</f>
        <v>Bói</v>
      </c>
      <c r="C6" s="27" t="str">
        <f>IFERROR(__xludf.DUMMYFUNCTION("""COMPUTED_VALUE"""),"בואי")</f>
        <v>בואי</v>
      </c>
      <c r="D6" s="28" t="str">
        <f>IFERROR(__xludf.DUMMYFUNCTION("""COMPUTED_VALUE"""),"https://www.youtube.com/watch?v=_uJLsc05ZE4")</f>
        <v>https://www.youtube.com/watch?v=_uJLsc05ZE4</v>
      </c>
      <c r="E6" s="28" t="str">
        <f>IFERROR(__xludf.DUMMYFUNCTION("""COMPUTED_VALUE"""),"https://www.youtube.com/watch?v=rJNaEJ24JCc")</f>
        <v>https://www.youtube.com/watch?v=rJNaEJ24JCc</v>
      </c>
      <c r="F6" s="27"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c r="G6" s="27" t="str">
        <f>IFERROR(__xludf.DUMMYFUNCTION("""COMPUTED_VALUE"""),":)")</f>
        <v>:)</v>
      </c>
      <c r="H6" s="22">
        <f t="shared" ref="H6:I6" si="6">LEN(D6)</f>
        <v>43</v>
      </c>
      <c r="I6" s="22">
        <f t="shared" si="6"/>
        <v>43</v>
      </c>
      <c r="J6" s="12">
        <f t="shared" si="3"/>
        <v>1</v>
      </c>
      <c r="K6" s="12" t="str">
        <f>VLOOKUP(F6,Data!$A$2:$C$12,3,false)</f>
        <v>#N/A</v>
      </c>
      <c r="L6" s="12" t="str">
        <f>IF(G6,Data!$G$4,Data!$G$5)</f>
        <v>#VALUE!</v>
      </c>
      <c r="M6" s="22" t="str">
        <f>VLOOKUP(F6,Data!$A$2:$E$12,4,false)</f>
        <v>#N/A</v>
      </c>
      <c r="N6" s="22" t="str">
        <f>VLOOKUP(F6,Data!$A$2:$E$12,5,false)</f>
        <v>#N/A</v>
      </c>
    </row>
    <row r="7" ht="15.75" hidden="1" customHeight="1">
      <c r="A7" s="27" t="str">
        <f>IFERROR(__xludf.DUMMYFUNCTION("""COMPUTED_VALUE"""),"H06")</f>
        <v>H06</v>
      </c>
      <c r="B7" s="27" t="str">
        <f>IFERROR(__xludf.DUMMYFUNCTION("""COMPUTED_VALUE"""),"Hiné má tov")</f>
        <v>Hiné má tov</v>
      </c>
      <c r="C7" s="27" t="str">
        <f>IFERROR(__xludf.DUMMYFUNCTION("""COMPUTED_VALUE"""),"הִנֵּה מַה טוֹב")</f>
        <v>הִנֵּה מַה טוֹב</v>
      </c>
      <c r="D7" s="28" t="str">
        <f>IFERROR(__xludf.DUMMYFUNCTION("""COMPUTED_VALUE"""),"https://www.youtube.com/watch?v=ehnKHhJ26pQ")</f>
        <v>https://www.youtube.com/watch?v=ehnKHhJ26pQ</v>
      </c>
      <c r="E7" s="28" t="str">
        <f>IFERROR(__xludf.DUMMYFUNCTION("""COMPUTED_VALUE"""),"https://www.youtube.com/watch?v=NSx3DBqA8UA")</f>
        <v>https://www.youtube.com/watch?v=NSx3DBqA8UA</v>
      </c>
      <c r="F7" s="27"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c r="G7" s="27" t="str">
        <f>IFERROR(__xludf.DUMMYFUNCTION("""COMPUTED_VALUE"""),":)")</f>
        <v>:)</v>
      </c>
      <c r="H7" s="22">
        <f t="shared" ref="H7:I7" si="7">LEN(D7)</f>
        <v>43</v>
      </c>
      <c r="I7" s="22">
        <f t="shared" si="7"/>
        <v>43</v>
      </c>
      <c r="J7" s="12">
        <f t="shared" si="3"/>
        <v>1</v>
      </c>
      <c r="K7" s="12" t="str">
        <f>VLOOKUP(F7,Data!$A$2:$C$12,3,false)</f>
        <v>#N/A</v>
      </c>
      <c r="L7" s="12" t="str">
        <f>IF(G7,Data!$G$4,Data!$G$5)</f>
        <v>#VALUE!</v>
      </c>
      <c r="M7" s="22" t="str">
        <f>VLOOKUP(F7,Data!$A$2:$E$12,4,false)</f>
        <v>#N/A</v>
      </c>
      <c r="N7" s="22" t="str">
        <f>VLOOKUP(F7,Data!$A$2:$E$12,5,false)</f>
        <v>#N/A</v>
      </c>
    </row>
    <row r="8" ht="15.75" hidden="1" customHeight="1">
      <c r="A8" s="27" t="str">
        <f>IFERROR(__xludf.DUMMYFUNCTION("""COMPUTED_VALUE"""),"H07")</f>
        <v>H07</v>
      </c>
      <c r="B8" s="27" t="str">
        <f>IFERROR(__xludf.DUMMYFUNCTION("""COMPUTED_VALUE"""),"Kol háolám kuló")</f>
        <v>Kol háolám kuló</v>
      </c>
      <c r="C8" s="27" t="str">
        <f>IFERROR(__xludf.DUMMYFUNCTION("""COMPUTED_VALUE"""),"כל העולם כולו")</f>
        <v>כל העולם כולו</v>
      </c>
      <c r="D8" s="28" t="str">
        <f>IFERROR(__xludf.DUMMYFUNCTION("""COMPUTED_VALUE"""),"https://www.youtube.com/watch?v=A4Ikm1SxBlU")</f>
        <v>https://www.youtube.com/watch?v=A4Ikm1SxBlU</v>
      </c>
      <c r="E8" s="28" t="str">
        <f>IFERROR(__xludf.DUMMYFUNCTION("""COMPUTED_VALUE"""),"https://www.youtube.com/watch?v=Va0n1X9A_r8")</f>
        <v>https://www.youtube.com/watch?v=Va0n1X9A_r8</v>
      </c>
      <c r="F8" s="27"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c r="G8" s="27" t="str">
        <f>IFERROR(__xludf.DUMMYFUNCTION("""COMPUTED_VALUE"""),":)")</f>
        <v>:)</v>
      </c>
      <c r="H8" s="22">
        <f t="shared" ref="H8:I8" si="8">LEN(D8)</f>
        <v>43</v>
      </c>
      <c r="I8" s="22">
        <f t="shared" si="8"/>
        <v>43</v>
      </c>
      <c r="J8" s="12">
        <f t="shared" si="3"/>
        <v>1</v>
      </c>
      <c r="K8" s="12" t="str">
        <f>VLOOKUP(F8,Data!$A$2:$C$12,3,false)</f>
        <v>#N/A</v>
      </c>
      <c r="L8" s="12" t="str">
        <f>IF(G8,Data!$G$4,Data!$G$5)</f>
        <v>#VALUE!</v>
      </c>
      <c r="M8" s="22" t="str">
        <f>VLOOKUP(F8,Data!$A$2:$E$12,4,false)</f>
        <v>#N/A</v>
      </c>
      <c r="N8" s="22" t="str">
        <f>VLOOKUP(F8,Data!$A$2:$E$12,5,false)</f>
        <v>#N/A</v>
      </c>
    </row>
    <row r="9" ht="15.75" hidden="1" customHeight="1">
      <c r="A9" s="27" t="str">
        <f>IFERROR(__xludf.DUMMYFUNCTION("""COMPUTED_VALUE"""),"H08")</f>
        <v>H08</v>
      </c>
      <c r="B9" s="27" t="str">
        <f>IFERROR(__xludf.DUMMYFUNCTION("""COMPUTED_VALUE"""),"Od avinu cháj")</f>
        <v>Od avinu cháj</v>
      </c>
      <c r="C9" s="27" t="str">
        <f>IFERROR(__xludf.DUMMYFUNCTION("""COMPUTED_VALUE"""),"עוֹד אָבִינוּ חַי")</f>
        <v>עוֹד אָבִינוּ חַי</v>
      </c>
      <c r="D9" s="28" t="str">
        <f>IFERROR(__xludf.DUMMYFUNCTION("""COMPUTED_VALUE"""),"https://www.youtube.com/watch?v=RPOuvkjByEA")</f>
        <v>https://www.youtube.com/watch?v=RPOuvkjByEA</v>
      </c>
      <c r="E9" s="27" t="str">
        <f>IFERROR(__xludf.DUMMYFUNCTION("""COMPUTED_VALUE"""),"-")</f>
        <v>-</v>
      </c>
      <c r="F9" s="27"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c r="G9" s="27" t="str">
        <f>IFERROR(__xludf.DUMMYFUNCTION("""COMPUTED_VALUE"""),":)")</f>
        <v>:)</v>
      </c>
      <c r="H9" s="22">
        <f t="shared" ref="H9:I9" si="9">LEN(D9)</f>
        <v>43</v>
      </c>
      <c r="I9" s="22">
        <f t="shared" si="9"/>
        <v>1</v>
      </c>
      <c r="J9" s="12">
        <f t="shared" si="3"/>
        <v>1</v>
      </c>
      <c r="K9" s="12" t="str">
        <f>VLOOKUP(F9,Data!$A$2:$C$12,3,false)</f>
        <v>#N/A</v>
      </c>
      <c r="L9" s="12" t="str">
        <f>IF(G9,Data!$G$4,Data!$G$5)</f>
        <v>#VALUE!</v>
      </c>
      <c r="M9" s="22" t="str">
        <f>VLOOKUP(F9,Data!$A$2:$E$12,4,false)</f>
        <v>#N/A</v>
      </c>
      <c r="N9" s="22" t="str">
        <f>VLOOKUP(F9,Data!$A$2:$E$12,5,false)</f>
        <v>#N/A</v>
      </c>
    </row>
    <row r="10" ht="15.75" hidden="1" customHeight="1">
      <c r="A10" s="27" t="str">
        <f>IFERROR(__xludf.DUMMYFUNCTION("""COMPUTED_VALUE"""),"H09")</f>
        <v>H09</v>
      </c>
      <c r="B10" s="27" t="str">
        <f>IFERROR(__xludf.DUMMYFUNCTION("""COMPUTED_VALUE"""),"Od Jávo Sálom Áléjnu")</f>
        <v>Od Jávo Sálom Áléjnu</v>
      </c>
      <c r="C10" s="27" t="str">
        <f>IFERROR(__xludf.DUMMYFUNCTION("""COMPUTED_VALUE"""),"עוד יבוא שלום עלינו")</f>
        <v>עוד יבוא שלום עלינו</v>
      </c>
      <c r="D10" s="28" t="str">
        <f>IFERROR(__xludf.DUMMYFUNCTION("""COMPUTED_VALUE"""),"https://www.youtube.com/watch?v=i4HViPVymlo")</f>
        <v>https://www.youtube.com/watch?v=i4HViPVymlo</v>
      </c>
      <c r="E10" s="28" t="str">
        <f>IFERROR(__xludf.DUMMYFUNCTION("""COMPUTED_VALUE"""),"https://www.youtube.com/watch?v=YkUR610lCiA")</f>
        <v>https://www.youtube.com/watch?v=YkUR610lCiA</v>
      </c>
      <c r="F10" s="27"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c r="G10" s="27" t="str">
        <f>IFERROR(__xludf.DUMMYFUNCTION("""COMPUTED_VALUE"""),":)")</f>
        <v>:)</v>
      </c>
      <c r="H10" s="22">
        <f t="shared" ref="H10:I10" si="10">LEN(D10)</f>
        <v>43</v>
      </c>
      <c r="I10" s="22">
        <f t="shared" si="10"/>
        <v>43</v>
      </c>
      <c r="J10" s="12">
        <f t="shared" si="3"/>
        <v>1</v>
      </c>
      <c r="K10" s="12" t="str">
        <f>VLOOKUP(F10,Data!$A$2:$C$12,3,false)</f>
        <v>#N/A</v>
      </c>
      <c r="L10" s="12" t="str">
        <f>IF(G10,Data!$G$4,Data!$G$5)</f>
        <v>#VALUE!</v>
      </c>
      <c r="M10" s="22" t="str">
        <f>VLOOKUP(F10,Data!$A$2:$E$12,4,false)</f>
        <v>#N/A</v>
      </c>
      <c r="N10" s="22" t="str">
        <f>VLOOKUP(F10,Data!$A$2:$E$12,5,false)</f>
        <v>#N/A</v>
      </c>
    </row>
    <row r="11" ht="15.75" hidden="1" customHeight="1">
      <c r="A11" s="27" t="str">
        <f>IFERROR(__xludf.DUMMYFUNCTION("""COMPUTED_VALUE"""),"H10")</f>
        <v>H10</v>
      </c>
      <c r="B11" s="27" t="str">
        <f>IFERROR(__xludf.DUMMYFUNCTION("""COMPUTED_VALUE"""),"Hajom jom huledet")</f>
        <v>Hajom jom huledet</v>
      </c>
      <c r="C11" s="27" t="str">
        <f>IFERROR(__xludf.DUMMYFUNCTION("""COMPUTED_VALUE"""),"היום יום הולדת")</f>
        <v>היום יום הולדת</v>
      </c>
      <c r="D11" s="28" t="str">
        <f>IFERROR(__xludf.DUMMYFUNCTION("""COMPUTED_VALUE"""),"https://www.youtube.com/watch?v=cm0QEnSh9JU")</f>
        <v>https://www.youtube.com/watch?v=cm0QEnSh9JU</v>
      </c>
      <c r="E11" s="27" t="str">
        <f>IFERROR(__xludf.DUMMYFUNCTION("""COMPUTED_VALUE"""),"-")</f>
        <v>-</v>
      </c>
      <c r="F11" s="27"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c r="G11" s="27" t="str">
        <f>IFERROR(__xludf.DUMMYFUNCTION("""COMPUTED_VALUE"""),":)")</f>
        <v>:)</v>
      </c>
      <c r="H11" s="22">
        <f t="shared" ref="H11:I11" si="11">LEN(D11)</f>
        <v>43</v>
      </c>
      <c r="I11" s="22">
        <f t="shared" si="11"/>
        <v>1</v>
      </c>
      <c r="J11" s="12">
        <f t="shared" si="3"/>
        <v>1</v>
      </c>
      <c r="K11" s="12" t="str">
        <f>VLOOKUP(F11,Data!$A$2:$C$12,3,false)</f>
        <v>#N/A</v>
      </c>
      <c r="L11" s="12" t="str">
        <f>IF(G11,Data!$G$4,Data!$G$5)</f>
        <v>#VALUE!</v>
      </c>
      <c r="M11" s="22" t="str">
        <f>VLOOKUP(F11,Data!$A$2:$E$12,4,false)</f>
        <v>#N/A</v>
      </c>
      <c r="N11" s="22" t="str">
        <f>VLOOKUP(F11,Data!$A$2:$E$12,5,false)</f>
        <v>#N/A</v>
      </c>
    </row>
    <row r="12" ht="15.75" hidden="1" customHeight="1">
      <c r="A12" s="27" t="str">
        <f>IFERROR(__xludf.DUMMYFUNCTION("""COMPUTED_VALUE"""),"H11")</f>
        <v>H11</v>
      </c>
      <c r="B12" s="27" t="str">
        <f>IFERROR(__xludf.DUMMYFUNCTION("""COMPUTED_VALUE"""),"Hevenu sálom álehem")</f>
        <v>Hevenu sálom álehem</v>
      </c>
      <c r="C12" s="27" t="str">
        <f>IFERROR(__xludf.DUMMYFUNCTION("""COMPUTED_VALUE"""),"הבאנו שלום עליכם")</f>
        <v>הבאנו שלום עליכם</v>
      </c>
      <c r="D12" s="28" t="str">
        <f>IFERROR(__xludf.DUMMYFUNCTION("""COMPUTED_VALUE"""),"https://www.youtube.com/watch?v=u_27W2xuo_M")</f>
        <v>https://www.youtube.com/watch?v=u_27W2xuo_M</v>
      </c>
      <c r="E12" s="28" t="str">
        <f>IFERROR(__xludf.DUMMYFUNCTION("""COMPUTED_VALUE"""),"https://www.youtube.com/watch?v=6eAKJld5fvA")</f>
        <v>https://www.youtube.com/watch?v=6eAKJld5fvA</v>
      </c>
      <c r="F12" s="27"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c r="G12" s="27" t="str">
        <f>IFERROR(__xludf.DUMMYFUNCTION("""COMPUTED_VALUE"""),":)")</f>
        <v>:)</v>
      </c>
      <c r="H12" s="22">
        <f t="shared" ref="H12:I12" si="12">LEN(D12)</f>
        <v>43</v>
      </c>
      <c r="I12" s="22">
        <f t="shared" si="12"/>
        <v>43</v>
      </c>
      <c r="J12" s="12">
        <f t="shared" si="3"/>
        <v>1</v>
      </c>
      <c r="K12" s="12" t="str">
        <f>VLOOKUP(F12,Data!$A$2:$C$12,3,false)</f>
        <v>#N/A</v>
      </c>
      <c r="L12" s="12" t="str">
        <f>IF(G12,Data!$G$4,Data!$G$5)</f>
        <v>#VALUE!</v>
      </c>
      <c r="M12" s="22" t="str">
        <f>VLOOKUP(F12,Data!$A$2:$E$12,4,false)</f>
        <v>#N/A</v>
      </c>
      <c r="N12" s="22" t="str">
        <f>VLOOKUP(F12,Data!$A$2:$E$12,5,false)</f>
        <v>#N/A</v>
      </c>
    </row>
    <row r="13" ht="15.75" hidden="1" customHeight="1">
      <c r="A13" s="27" t="str">
        <f>IFERROR(__xludf.DUMMYFUNCTION("""COMPUTED_VALUE"""),"H12")</f>
        <v>H12</v>
      </c>
      <c r="B13" s="27" t="str">
        <f>IFERROR(__xludf.DUMMYFUNCTION("""COMPUTED_VALUE"""),"Hává nágilá")</f>
        <v>Hává nágilá</v>
      </c>
      <c r="C13" s="27" t="str">
        <f>IFERROR(__xludf.DUMMYFUNCTION("""COMPUTED_VALUE"""),"הבה נגילה")</f>
        <v>הבה נגילה</v>
      </c>
      <c r="D13" s="28" t="str">
        <f>IFERROR(__xludf.DUMMYFUNCTION("""COMPUTED_VALUE"""),"https://www.youtube.com/watch?v=I-xbnpT6y9E")</f>
        <v>https://www.youtube.com/watch?v=I-xbnpT6y9E</v>
      </c>
      <c r="E13" s="27" t="str">
        <f>IFERROR(__xludf.DUMMYFUNCTION("""COMPUTED_VALUE"""),"-")</f>
        <v>-</v>
      </c>
      <c r="F13" s="27"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c r="G13" s="27" t="str">
        <f>IFERROR(__xludf.DUMMYFUNCTION("""COMPUTED_VALUE"""),":)")</f>
        <v>:)</v>
      </c>
      <c r="H13" s="22">
        <f t="shared" ref="H13:I13" si="13">LEN(D13)</f>
        <v>43</v>
      </c>
      <c r="I13" s="22">
        <f t="shared" si="13"/>
        <v>1</v>
      </c>
      <c r="J13" s="12">
        <f t="shared" si="3"/>
        <v>1</v>
      </c>
      <c r="K13" s="12" t="str">
        <f>VLOOKUP(F13,Data!$A$2:$C$12,3,false)</f>
        <v>#N/A</v>
      </c>
      <c r="L13" s="12" t="str">
        <f>IF(G13,Data!$G$4,Data!$G$5)</f>
        <v>#VALUE!</v>
      </c>
      <c r="M13" s="22" t="str">
        <f>VLOOKUP(F13,Data!$A$2:$E$12,4,false)</f>
        <v>#N/A</v>
      </c>
      <c r="N13" s="22" t="str">
        <f>VLOOKUP(F13,Data!$A$2:$E$12,5,false)</f>
        <v>#N/A</v>
      </c>
    </row>
    <row r="14" ht="15.75" hidden="1" customHeight="1">
      <c r="A14" s="27" t="str">
        <f>IFERROR(__xludf.DUMMYFUNCTION("""COMPUTED_VALUE"""),"H13")</f>
        <v>H13</v>
      </c>
      <c r="B14" s="27" t="str">
        <f>IFERROR(__xludf.DUMMYFUNCTION("""COMPUTED_VALUE"""),"Dávid meleh Jiszrael")</f>
        <v>Dávid meleh Jiszrael</v>
      </c>
      <c r="C14" s="27" t="str">
        <f>IFERROR(__xludf.DUMMYFUNCTION("""COMPUTED_VALUE"""),"דוד מלך ישראל")</f>
        <v>דוד מלך ישראל</v>
      </c>
      <c r="D14" s="28" t="str">
        <f>IFERROR(__xludf.DUMMYFUNCTION("""COMPUTED_VALUE"""),"https://www.youtube.com/watch?v=Q2AGR2Ny8cU")</f>
        <v>https://www.youtube.com/watch?v=Q2AGR2Ny8cU</v>
      </c>
      <c r="E14" s="28" t="str">
        <f>IFERROR(__xludf.DUMMYFUNCTION("""COMPUTED_VALUE"""),"https://www.youtube.com/watch?v=DoZz5cJLEO8")</f>
        <v>https://www.youtube.com/watch?v=DoZz5cJLEO8</v>
      </c>
      <c r="F14" s="27" t="str">
        <f>IFERROR(__xludf.DUMMYFUNCTION("""COMPUTED_VALUE"""),"C
Dávid meleḥ Jiszráel,
C
ḥáj, ḥáj vekájám.
F
Dávid meleḥ Jiszráel,
C
ḥáj, ḥáj vekájám.")</f>
        <v>C
Dávid meleḥ Jiszráel,
C
ḥáj, ḥáj vekájám.
F
Dávid meleḥ Jiszráel,
C
ḥáj, ḥáj vekájám.</v>
      </c>
      <c r="G14" s="27" t="str">
        <f>IFERROR(__xludf.DUMMYFUNCTION("""COMPUTED_VALUE"""),":)")</f>
        <v>:)</v>
      </c>
      <c r="H14" s="22">
        <f t="shared" ref="H14:I14" si="14">LEN(D14)</f>
        <v>43</v>
      </c>
      <c r="I14" s="22">
        <f t="shared" si="14"/>
        <v>43</v>
      </c>
      <c r="J14" s="12">
        <f t="shared" si="3"/>
        <v>1</v>
      </c>
      <c r="K14" s="12" t="str">
        <f>VLOOKUP(F14,Data!$A$2:$C$12,3,false)</f>
        <v>#N/A</v>
      </c>
      <c r="L14" s="12" t="str">
        <f>IF(G14,Data!$G$4,Data!$G$5)</f>
        <v>#VALUE!</v>
      </c>
      <c r="M14" s="22" t="str">
        <f>VLOOKUP(F14,Data!$A$2:$E$12,4,false)</f>
        <v>#N/A</v>
      </c>
      <c r="N14" s="22" t="str">
        <f>VLOOKUP(F14,Data!$A$2:$E$12,5,false)</f>
        <v>#N/A</v>
      </c>
    </row>
    <row r="15" ht="15.75" hidden="1" customHeight="1">
      <c r="A15" s="27" t="str">
        <f>IFERROR(__xludf.DUMMYFUNCTION("""COMPUTED_VALUE"""),"H14")</f>
        <v>H14</v>
      </c>
      <c r="B15" s="27" t="str">
        <f>IFERROR(__xludf.DUMMYFUNCTION("""COMPUTED_VALUE"""),"Áni Mámin (Száhki száhki)")</f>
        <v>Áni Mámin (Száhki száhki)</v>
      </c>
      <c r="C15" s="27" t="str">
        <f>IFERROR(__xludf.DUMMYFUNCTION("""COMPUTED_VALUE"""),"אני מאמין - שחקי שחקי")</f>
        <v>אני מאמין - שחקי שחקי</v>
      </c>
      <c r="D15" s="28" t="str">
        <f>IFERROR(__xludf.DUMMYFUNCTION("""COMPUTED_VALUE"""),"https://www.youtube.com/watch?v=SK2RqH52-QM")</f>
        <v>https://www.youtube.com/watch?v=SK2RqH52-QM</v>
      </c>
      <c r="E15" s="27"/>
      <c r="F15" s="27"/>
      <c r="G15" s="27" t="str">
        <f>IFERROR(__xludf.DUMMYFUNCTION("""COMPUTED_VALUE"""),"1")</f>
        <v>1</v>
      </c>
      <c r="H15" s="22">
        <f t="shared" ref="H15:I15" si="15">LEN(D15)</f>
        <v>43</v>
      </c>
      <c r="I15" s="22">
        <f t="shared" si="15"/>
        <v>0</v>
      </c>
      <c r="J15" s="12">
        <f t="shared" si="3"/>
        <v>1</v>
      </c>
      <c r="K15" s="12" t="str">
        <f>VLOOKUP(F15,Data!$A$2:$C$12,3,false)</f>
        <v>#N/A</v>
      </c>
      <c r="L15" s="12" t="str">
        <f>IF(G15,Data!$G$4,Data!$G$5)</f>
        <v>#VALUE!</v>
      </c>
      <c r="M15" s="22" t="str">
        <f>VLOOKUP(F15,Data!$A$2:$E$12,4,false)</f>
        <v>#N/A</v>
      </c>
      <c r="N15" s="22" t="str">
        <f>VLOOKUP(F15,Data!$A$2:$E$12,5,false)</f>
        <v>#N/A</v>
      </c>
    </row>
    <row r="16" ht="15.75" hidden="1" customHeight="1">
      <c r="A16" s="27" t="str">
        <f>IFERROR(__xludf.DUMMYFUNCTION("""COMPUTED_VALUE"""),"K01")</f>
        <v>K01</v>
      </c>
      <c r="B16" s="27" t="str">
        <f>IFERROR(__xludf.DUMMYFUNCTION("""COMPUTED_VALUE"""),"Let It Be")</f>
        <v>Let It Be</v>
      </c>
      <c r="C16" s="27" t="str">
        <f>IFERROR(__xludf.DUMMYFUNCTION("""COMPUTED_VALUE"""),"(1/2)")</f>
        <v>(1/2)</v>
      </c>
      <c r="D16" s="28" t="str">
        <f>IFERROR(__xludf.DUMMYFUNCTION("""COMPUTED_VALUE"""),"https://www.youtube.com/watch?v=CGj85pVzRJs&amp;pp=ygUJTGV0IEl0IEJl")</f>
        <v>https://www.youtube.com/watch?v=CGj85pVzRJs&amp;pp=ygUJTGV0IEl0IEJl</v>
      </c>
      <c r="E16" s="28" t="str">
        <f>IFERROR(__xludf.DUMMYFUNCTION("""COMPUTED_VALUE"""),"https://www.youtube.com/watch?v=egCy1KoE1Ss")</f>
        <v>https://www.youtube.com/watch?v=egCy1KoE1Ss</v>
      </c>
      <c r="F16" s="27"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c r="G16" s="27" t="str">
        <f>IFERROR(__xludf.DUMMYFUNCTION("""COMPUTED_VALUE"""),":)")</f>
        <v>:)</v>
      </c>
      <c r="H16" s="22">
        <f t="shared" ref="H16:I16" si="16">LEN(D16)</f>
        <v>63</v>
      </c>
      <c r="I16" s="22">
        <f t="shared" si="16"/>
        <v>43</v>
      </c>
      <c r="J16" s="12">
        <f t="shared" si="3"/>
        <v>1</v>
      </c>
      <c r="K16" s="12" t="str">
        <f>VLOOKUP(F16,Data!$A$2:$C$12,3,false)</f>
        <v>#N/A</v>
      </c>
      <c r="L16" s="12" t="str">
        <f>IF(G16,Data!$G$4,Data!$G$5)</f>
        <v>#VALUE!</v>
      </c>
      <c r="M16" s="22" t="str">
        <f>VLOOKUP(F16,Data!$A$2:$E$12,4,false)</f>
        <v>#N/A</v>
      </c>
      <c r="N16" s="22" t="str">
        <f>VLOOKUP(F16,Data!$A$2:$E$12,5,false)</f>
        <v>#N/A</v>
      </c>
    </row>
    <row r="17" ht="15.75" hidden="1" customHeight="1">
      <c r="A17" s="27" t="str">
        <f>IFERROR(__xludf.DUMMYFUNCTION("""COMPUTED_VALUE"""),"K01")</f>
        <v>K01</v>
      </c>
      <c r="B17" s="27" t="str">
        <f>IFERROR(__xludf.DUMMYFUNCTION("""COMPUTED_VALUE"""),"Let It Be")</f>
        <v>Let It Be</v>
      </c>
      <c r="C17" s="27" t="str">
        <f>IFERROR(__xludf.DUMMYFUNCTION("""COMPUTED_VALUE"""),"(2/2)")</f>
        <v>(2/2)</v>
      </c>
      <c r="D17" s="28" t="str">
        <f>IFERROR(__xludf.DUMMYFUNCTION("""COMPUTED_VALUE"""),"https://www.youtube.com/watch?v=CGj85pVzRJs&amp;pp=ygUJTGV0IEl0IEJl")</f>
        <v>https://www.youtube.com/watch?v=CGj85pVzRJs&amp;pp=ygUJTGV0IEl0IEJl</v>
      </c>
      <c r="E17" s="28" t="str">
        <f>IFERROR(__xludf.DUMMYFUNCTION("""COMPUTED_VALUE"""),"https://www.youtube.com/watch?v=egCy1KoE1Ss")</f>
        <v>https://www.youtube.com/watch?v=egCy1KoE1Ss</v>
      </c>
      <c r="F17" s="27"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c r="G17" s="27" t="str">
        <f>IFERROR(__xludf.DUMMYFUNCTION("""COMPUTED_VALUE"""),":)")</f>
        <v>:)</v>
      </c>
      <c r="H17" s="22">
        <f t="shared" ref="H17:I17" si="17">LEN(D17)</f>
        <v>63</v>
      </c>
      <c r="I17" s="22">
        <f t="shared" si="17"/>
        <v>43</v>
      </c>
      <c r="J17" s="12">
        <f t="shared" si="3"/>
        <v>1</v>
      </c>
      <c r="K17" s="12" t="str">
        <f>VLOOKUP(F17,Data!$A$2:$C$12,3,false)</f>
        <v>#N/A</v>
      </c>
      <c r="L17" s="12" t="str">
        <f>IF(G17,Data!$G$4,Data!$G$5)</f>
        <v>#VALUE!</v>
      </c>
      <c r="M17" s="22" t="str">
        <f>VLOOKUP(F17,Data!$A$2:$E$12,4,false)</f>
        <v>#N/A</v>
      </c>
      <c r="N17" s="22" t="str">
        <f>VLOOKUP(F17,Data!$A$2:$E$12,5,false)</f>
        <v>#N/A</v>
      </c>
    </row>
    <row r="18" ht="15.75" hidden="1" customHeight="1">
      <c r="A18" s="27" t="str">
        <f>IFERROR(__xludf.DUMMYFUNCTION("""COMPUTED_VALUE"""),"K02")</f>
        <v>K02</v>
      </c>
      <c r="B18" s="27" t="str">
        <f>IFERROR(__xludf.DUMMYFUNCTION("""COMPUTED_VALUE"""),"Yellow submarine")</f>
        <v>Yellow submarine</v>
      </c>
      <c r="C18" s="27"/>
      <c r="D18" s="28" t="str">
        <f>IFERROR(__xludf.DUMMYFUNCTION("""COMPUTED_VALUE"""),"https://www.youtube.com/watch?v=m2uTFF_3MaA")</f>
        <v>https://www.youtube.com/watch?v=m2uTFF_3MaA</v>
      </c>
      <c r="E18" s="28" t="str">
        <f>IFERROR(__xludf.DUMMYFUNCTION("""COMPUTED_VALUE"""),"https://www.youtube.com/watch?v=m2uTFF_3MaA")</f>
        <v>https://www.youtube.com/watch?v=m2uTFF_3MaA</v>
      </c>
      <c r="F18" s="27"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c r="G18" s="27" t="str">
        <f>IFERROR(__xludf.DUMMYFUNCTION("""COMPUTED_VALUE"""),":)")</f>
        <v>:)</v>
      </c>
      <c r="H18" s="22">
        <f t="shared" ref="H18:I18" si="18">LEN(D18)</f>
        <v>43</v>
      </c>
      <c r="I18" s="22">
        <f t="shared" si="18"/>
        <v>43</v>
      </c>
      <c r="J18" s="12">
        <f t="shared" si="3"/>
        <v>1</v>
      </c>
      <c r="K18" s="12" t="str">
        <f>VLOOKUP(F18,Data!$A$2:$C$12,3,false)</f>
        <v>#N/A</v>
      </c>
      <c r="L18" s="12" t="str">
        <f>IF(G18,Data!$G$4,Data!$G$5)</f>
        <v>#VALUE!</v>
      </c>
      <c r="M18" s="22" t="str">
        <f>VLOOKUP(F18,Data!$A$2:$E$12,4,false)</f>
        <v>#N/A</v>
      </c>
      <c r="N18" s="22" t="str">
        <f>VLOOKUP(F18,Data!$A$2:$E$12,5,false)</f>
        <v>#N/A</v>
      </c>
    </row>
    <row r="19" ht="15.75" hidden="1" customHeight="1">
      <c r="A19" s="27" t="str">
        <f>IFERROR(__xludf.DUMMYFUNCTION("""COMPUTED_VALUE"""),"K03")</f>
        <v>K03</v>
      </c>
      <c r="B19" s="27" t="str">
        <f>IFERROR(__xludf.DUMMYFUNCTION("""COMPUTED_VALUE"""),"Yesterday")</f>
        <v>Yesterday</v>
      </c>
      <c r="C19" s="27"/>
      <c r="D19" s="28" t="str">
        <f>IFERROR(__xludf.DUMMYFUNCTION("""COMPUTED_VALUE"""),"https://www.youtube.com/watch?v=wXTJBr9tt8Q&amp;pp=ygUKWWVzdGVyZGF5IA%3D%3D")</f>
        <v>https://www.youtube.com/watch?v=wXTJBr9tt8Q&amp;pp=ygUKWWVzdGVyZGF5IA%3D%3D</v>
      </c>
      <c r="E19" s="28" t="str">
        <f>IFERROR(__xludf.DUMMYFUNCTION("""COMPUTED_VALUE"""),"https://www.youtube.com/watch?v=NrgmdOz227I")</f>
        <v>https://www.youtube.com/watch?v=NrgmdOz227I</v>
      </c>
      <c r="F19" s="27"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c r="G19" s="27" t="str">
        <f>IFERROR(__xludf.DUMMYFUNCTION("""COMPUTED_VALUE"""),":)")</f>
        <v>:)</v>
      </c>
      <c r="H19" s="22">
        <f t="shared" ref="H19:I19" si="19">LEN(D19)</f>
        <v>71</v>
      </c>
      <c r="I19" s="22">
        <f t="shared" si="19"/>
        <v>43</v>
      </c>
      <c r="J19" s="12">
        <f t="shared" si="3"/>
        <v>1</v>
      </c>
      <c r="K19" s="12" t="str">
        <f>VLOOKUP(F19,Data!$A$2:$C$12,3,false)</f>
        <v>#N/A</v>
      </c>
      <c r="L19" s="12" t="str">
        <f>IF(G19,Data!$G$4,Data!$G$5)</f>
        <v>#VALUE!</v>
      </c>
      <c r="M19" s="22" t="str">
        <f>VLOOKUP(F19,Data!$A$2:$E$12,4,false)</f>
        <v>#N/A</v>
      </c>
      <c r="N19" s="22" t="str">
        <f>VLOOKUP(F19,Data!$A$2:$E$12,5,false)</f>
        <v>#N/A</v>
      </c>
    </row>
    <row r="20" ht="15.75" customHeight="1">
      <c r="A20" s="27" t="str">
        <f>IFERROR(__xludf.DUMMYFUNCTION("""COMPUTED_VALUE"""),"K04")</f>
        <v>K04</v>
      </c>
      <c r="B20" s="27" t="str">
        <f>IFERROR(__xludf.DUMMYFUNCTION("""COMPUTED_VALUE"""),"Lemon Tree")</f>
        <v>Lemon Tree</v>
      </c>
      <c r="C20" s="27" t="str">
        <f>IFERROR(__xludf.DUMMYFUNCTION("""COMPUTED_VALUE"""),"(1/2)")</f>
        <v>(1/2)</v>
      </c>
      <c r="D20" s="28" t="str">
        <f>IFERROR(__xludf.DUMMYFUNCTION("""COMPUTED_VALUE"""),"https://www.youtube.com/watch?v=wCQfkEkePx8")</f>
        <v>https://www.youtube.com/watch?v=wCQfkEkePx8</v>
      </c>
      <c r="E20" s="28" t="str">
        <f>IFERROR(__xludf.DUMMYFUNCTION("""COMPUTED_VALUE"""),"https://www.youtube.com/watch?v=QzmbR-oQA70")</f>
        <v>https://www.youtube.com/watch?v=QzmbR-oQA70</v>
      </c>
      <c r="F20" s="27"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0" s="27" t="str">
        <f>IFERROR(__xludf.DUMMYFUNCTION("""COMPUTED_VALUE"""),":)")</f>
        <v>:)</v>
      </c>
      <c r="H20" s="22">
        <f t="shared" ref="H20:I20" si="20">LEN(D20)</f>
        <v>43</v>
      </c>
      <c r="I20" s="22">
        <f t="shared" si="20"/>
        <v>43</v>
      </c>
      <c r="J20" s="12">
        <f t="shared" si="3"/>
        <v>1</v>
      </c>
      <c r="K20" s="12" t="str">
        <f>VLOOKUP(F20,Data!$A$2:$C$12,3,false)</f>
        <v>#N/A</v>
      </c>
      <c r="L20" s="12" t="str">
        <f>IF(G20,Data!$G$4,Data!$G$5)</f>
        <v>#VALUE!</v>
      </c>
      <c r="M20" s="22" t="str">
        <f>VLOOKUP(F20,Data!$A$2:$E$12,4,false)</f>
        <v>#N/A</v>
      </c>
      <c r="N20" s="22" t="str">
        <f>VLOOKUP(F20,Data!$A$2:$E$12,5,false)</f>
        <v>#N/A</v>
      </c>
    </row>
    <row r="21" ht="15.75" hidden="1" customHeight="1">
      <c r="A21" s="27" t="str">
        <f>IFERROR(__xludf.DUMMYFUNCTION("""COMPUTED_VALUE"""),"K04")</f>
        <v>K04</v>
      </c>
      <c r="B21" s="27" t="str">
        <f>IFERROR(__xludf.DUMMYFUNCTION("""COMPUTED_VALUE"""),"Lemon Tree")</f>
        <v>Lemon Tree</v>
      </c>
      <c r="C21" s="27" t="str">
        <f>IFERROR(__xludf.DUMMYFUNCTION("""COMPUTED_VALUE"""),"(2/2)")</f>
        <v>(2/2)</v>
      </c>
      <c r="D21" s="28" t="str">
        <f>IFERROR(__xludf.DUMMYFUNCTION("""COMPUTED_VALUE"""),"https://www.youtube.com/watch?v=wCQfkEkePx8")</f>
        <v>https://www.youtube.com/watch?v=wCQfkEkePx8</v>
      </c>
      <c r="E21" s="28" t="str">
        <f>IFERROR(__xludf.DUMMYFUNCTION("""COMPUTED_VALUE"""),"https://www.youtube.com/watch?v=QzmbR-oQA70")</f>
        <v>https://www.youtube.com/watch?v=QzmbR-oQA70</v>
      </c>
      <c r="F21" s="27"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1" s="27" t="str">
        <f>IFERROR(__xludf.DUMMYFUNCTION("""COMPUTED_VALUE"""),":)")</f>
        <v>:)</v>
      </c>
      <c r="H21" s="22">
        <f t="shared" ref="H21:I21" si="21">LEN(D21)</f>
        <v>43</v>
      </c>
      <c r="I21" s="22">
        <f t="shared" si="21"/>
        <v>43</v>
      </c>
      <c r="J21" s="12">
        <f t="shared" si="3"/>
        <v>1</v>
      </c>
      <c r="K21" s="12" t="str">
        <f>VLOOKUP(F21,Data!$A$2:$C$12,3,false)</f>
        <v>#N/A</v>
      </c>
      <c r="L21" s="12" t="str">
        <f>IF(G21,Data!$G$4,Data!$G$5)</f>
        <v>#VALUE!</v>
      </c>
      <c r="M21" s="22" t="str">
        <f>VLOOKUP(F21,Data!$A$2:$E$12,4,false)</f>
        <v>#N/A</v>
      </c>
      <c r="N21" s="22" t="str">
        <f>VLOOKUP(F21,Data!$A$2:$E$12,5,false)</f>
        <v>#N/A</v>
      </c>
    </row>
    <row r="22" ht="15.75" hidden="1" customHeight="1">
      <c r="A22" s="27" t="str">
        <f>IFERROR(__xludf.DUMMYFUNCTION("""COMPUTED_VALUE"""),"K05")</f>
        <v>K05</v>
      </c>
      <c r="B22" s="27" t="str">
        <f>IFERROR(__xludf.DUMMYFUNCTION("""COMPUTED_VALUE"""),"Knocking on heaven's door")</f>
        <v>Knocking on heaven's door</v>
      </c>
      <c r="C22" s="27"/>
      <c r="D22" s="28" t="str">
        <f>IFERROR(__xludf.DUMMYFUNCTION("""COMPUTED_VALUE"""),"https://www.youtube.com/watch?v=k04tX2fvh0o")</f>
        <v>https://www.youtube.com/watch?v=k04tX2fvh0o</v>
      </c>
      <c r="E22" s="28" t="str">
        <f>IFERROR(__xludf.DUMMYFUNCTION("""COMPUTED_VALUE"""),"https://www.youtube.com/watch?v=UcCNj3q79Ic")</f>
        <v>https://www.youtube.com/watch?v=UcCNj3q79Ic</v>
      </c>
      <c r="F22" s="27"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c r="G22" s="27" t="str">
        <f>IFERROR(__xludf.DUMMYFUNCTION("""COMPUTED_VALUE"""),":)")</f>
        <v>:)</v>
      </c>
      <c r="H22" s="22">
        <f t="shared" ref="H22:I22" si="22">LEN(D22)</f>
        <v>43</v>
      </c>
      <c r="I22" s="22">
        <f t="shared" si="22"/>
        <v>43</v>
      </c>
      <c r="J22" s="12">
        <f t="shared" si="3"/>
        <v>1</v>
      </c>
      <c r="K22" s="12" t="str">
        <f>VLOOKUP(F22,Data!$A$2:$C$12,3,false)</f>
        <v>#N/A</v>
      </c>
      <c r="L22" s="12" t="str">
        <f>IF(G22,Data!$G$4,Data!$G$5)</f>
        <v>#VALUE!</v>
      </c>
      <c r="M22" s="22" t="str">
        <f>VLOOKUP(F22,Data!$A$2:$E$12,4,false)</f>
        <v>#N/A</v>
      </c>
      <c r="N22" s="22" t="str">
        <f>VLOOKUP(F22,Data!$A$2:$E$12,5,false)</f>
        <v>#N/A</v>
      </c>
    </row>
    <row r="23" ht="15.75" hidden="1" customHeight="1">
      <c r="A23" s="27" t="str">
        <f>IFERROR(__xludf.DUMMYFUNCTION("""COMPUTED_VALUE"""),"K06")</f>
        <v>K06</v>
      </c>
      <c r="B23" s="27" t="str">
        <f>IFERROR(__xludf.DUMMYFUNCTION("""COMPUTED_VALUE"""),"Drunken sailor")</f>
        <v>Drunken sailor</v>
      </c>
      <c r="C23" s="27"/>
      <c r="D23" s="28" t="str">
        <f>IFERROR(__xludf.DUMMYFUNCTION("""COMPUTED_VALUE"""),"https://www.youtube.com/watch?v=qGyPuey-1Jw")</f>
        <v>https://www.youtube.com/watch?v=qGyPuey-1Jw</v>
      </c>
      <c r="E23" s="28" t="str">
        <f>IFERROR(__xludf.DUMMYFUNCTION("""COMPUTED_VALUE"""),"https://www.youtube.com/watch?v=nMOyOlmBYCU")</f>
        <v>https://www.youtube.com/watch?v=nMOyOlmBYCU</v>
      </c>
      <c r="F23" s="27"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c r="G23" s="27" t="str">
        <f>IFERROR(__xludf.DUMMYFUNCTION("""COMPUTED_VALUE"""),":)")</f>
        <v>:)</v>
      </c>
      <c r="H23" s="22">
        <f t="shared" ref="H23:I23" si="23">LEN(D23)</f>
        <v>43</v>
      </c>
      <c r="I23" s="22">
        <f t="shared" si="23"/>
        <v>43</v>
      </c>
      <c r="J23" s="12">
        <f t="shared" si="3"/>
        <v>1</v>
      </c>
      <c r="K23" s="12" t="str">
        <f>VLOOKUP(F23,Data!$A$2:$C$12,3,false)</f>
        <v>#N/A</v>
      </c>
      <c r="L23" s="12" t="str">
        <f>IF(G23,Data!$G$4,Data!$G$5)</f>
        <v>#VALUE!</v>
      </c>
      <c r="M23" s="22" t="str">
        <f>VLOOKUP(F23,Data!$A$2:$E$12,4,false)</f>
        <v>#N/A</v>
      </c>
      <c r="N23" s="22" t="str">
        <f>VLOOKUP(F23,Data!$A$2:$E$12,5,false)</f>
        <v>#N/A</v>
      </c>
    </row>
    <row r="24" ht="15.75" hidden="1" customHeight="1">
      <c r="A24" s="27" t="str">
        <f>IFERROR(__xludf.DUMMYFUNCTION("""COMPUTED_VALUE"""),"K07")</f>
        <v>K07</v>
      </c>
      <c r="B24" s="27" t="str">
        <f>IFERROR(__xludf.DUMMYFUNCTION("""COMPUTED_VALUE"""),"Somewhere Over the Rainbow")</f>
        <v>Somewhere Over the Rainbow</v>
      </c>
      <c r="C24" s="27"/>
      <c r="D24" s="28" t="str">
        <f>IFERROR(__xludf.DUMMYFUNCTION("""COMPUTED_VALUE"""),"https://www.youtube.com/watch?v=V1bFr2SWP1I")</f>
        <v>https://www.youtube.com/watch?v=V1bFr2SWP1I</v>
      </c>
      <c r="E24" s="28" t="str">
        <f>IFERROR(__xludf.DUMMYFUNCTION("""COMPUTED_VALUE"""),"https://www.youtube.com/watch?v=8CCTiQmK5t4")</f>
        <v>https://www.youtube.com/watch?v=8CCTiQmK5t4</v>
      </c>
      <c r="F24" s="27"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c r="G24" s="27" t="str">
        <f>IFERROR(__xludf.DUMMYFUNCTION("""COMPUTED_VALUE"""),":)")</f>
        <v>:)</v>
      </c>
      <c r="H24" s="22">
        <f t="shared" ref="H24:I24" si="24">LEN(D24)</f>
        <v>43</v>
      </c>
      <c r="I24" s="22">
        <f t="shared" si="24"/>
        <v>43</v>
      </c>
      <c r="J24" s="12">
        <f t="shared" si="3"/>
        <v>1</v>
      </c>
      <c r="K24" s="12" t="str">
        <f>VLOOKUP(F24,Data!$A$2:$C$12,3,false)</f>
        <v>#N/A</v>
      </c>
      <c r="L24" s="12" t="str">
        <f>IF(G24,Data!$G$4,Data!$G$5)</f>
        <v>#VALUE!</v>
      </c>
      <c r="M24" s="22" t="str">
        <f>VLOOKUP(F24,Data!$A$2:$E$12,4,false)</f>
        <v>#N/A</v>
      </c>
      <c r="N24" s="22" t="str">
        <f>VLOOKUP(F24,Data!$A$2:$E$12,5,false)</f>
        <v>#N/A</v>
      </c>
    </row>
    <row r="25" ht="15.75" hidden="1" customHeight="1">
      <c r="A25" s="27" t="str">
        <f>IFERROR(__xludf.DUMMYFUNCTION("""COMPUTED_VALUE"""),"K08")</f>
        <v>K08</v>
      </c>
      <c r="B25" s="27" t="str">
        <f>IFERROR(__xludf.DUMMYFUNCTION("""COMPUTED_VALUE"""),"Bella ciao")</f>
        <v>Bella ciao</v>
      </c>
      <c r="C25" s="27"/>
      <c r="D25" s="28" t="str">
        <f>IFERROR(__xludf.DUMMYFUNCTION("""COMPUTED_VALUE"""),"https://www.youtube.com/watch?v=0aUav1lx3rA")</f>
        <v>https://www.youtube.com/watch?v=0aUav1lx3rA</v>
      </c>
      <c r="E25" s="28" t="str">
        <f>IFERROR(__xludf.DUMMYFUNCTION("""COMPUTED_VALUE"""),"https://www.youtube.com/watch?v=A1dkZrpZgjY")</f>
        <v>https://www.youtube.com/watch?v=A1dkZrpZgjY</v>
      </c>
      <c r="F25" s="27"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c r="G25" s="27" t="str">
        <f>IFERROR(__xludf.DUMMYFUNCTION("""COMPUTED_VALUE"""),":)")</f>
        <v>:)</v>
      </c>
      <c r="H25" s="22">
        <f t="shared" ref="H25:I25" si="25">LEN(D25)</f>
        <v>43</v>
      </c>
      <c r="I25" s="22">
        <f t="shared" si="25"/>
        <v>43</v>
      </c>
      <c r="J25" s="12">
        <f t="shared" si="3"/>
        <v>1</v>
      </c>
      <c r="K25" s="12" t="str">
        <f>VLOOKUP(F25,Data!$A$2:$C$12,3,false)</f>
        <v>#N/A</v>
      </c>
      <c r="L25" s="12" t="str">
        <f>IF(G25,Data!$G$4,Data!$G$5)</f>
        <v>#VALUE!</v>
      </c>
      <c r="M25" s="22" t="str">
        <f>VLOOKUP(F25,Data!$A$2:$E$12,4,false)</f>
        <v>#N/A</v>
      </c>
      <c r="N25" s="22" t="str">
        <f>VLOOKUP(F25,Data!$A$2:$E$12,5,false)</f>
        <v>#N/A</v>
      </c>
    </row>
    <row r="26" ht="15.75" hidden="1" customHeight="1">
      <c r="A26" s="27" t="str">
        <f>IFERROR(__xludf.DUMMYFUNCTION("""COMPUTED_VALUE"""),"K09")</f>
        <v>K09</v>
      </c>
      <c r="B26" s="27" t="str">
        <f>IFERROR(__xludf.DUMMYFUNCTION("""COMPUTED_VALUE"""),"Banks of the Ohio")</f>
        <v>Banks of the Ohio</v>
      </c>
      <c r="C26" s="27"/>
      <c r="D26" s="28" t="str">
        <f>IFERROR(__xludf.DUMMYFUNCTION("""COMPUTED_VALUE"""),"https://www.youtube.com/watch?v=-LT5ZJGj5QA")</f>
        <v>https://www.youtube.com/watch?v=-LT5ZJGj5QA</v>
      </c>
      <c r="E26" s="28" t="str">
        <f>IFERROR(__xludf.DUMMYFUNCTION("""COMPUTED_VALUE"""),"https://www.youtube.com/watch?v=-LT5ZJGj5QA")</f>
        <v>https://www.youtube.com/watch?v=-LT5ZJGj5QA</v>
      </c>
      <c r="F26" s="27"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c r="G26" s="27" t="str">
        <f>IFERROR(__xludf.DUMMYFUNCTION("""COMPUTED_VALUE"""),":)")</f>
        <v>:)</v>
      </c>
      <c r="H26" s="22">
        <f t="shared" ref="H26:I26" si="26">LEN(D26)</f>
        <v>43</v>
      </c>
      <c r="I26" s="22">
        <f t="shared" si="26"/>
        <v>43</v>
      </c>
      <c r="J26" s="12">
        <f t="shared" si="3"/>
        <v>1</v>
      </c>
      <c r="K26" s="12" t="str">
        <f>VLOOKUP(F26,Data!$A$2:$C$12,3,false)</f>
        <v>#N/A</v>
      </c>
      <c r="L26" s="12" t="str">
        <f>IF(G26,Data!$G$4,Data!$G$5)</f>
        <v>#VALUE!</v>
      </c>
      <c r="M26" s="22" t="str">
        <f>VLOOKUP(F26,Data!$A$2:$E$12,4,false)</f>
        <v>#N/A</v>
      </c>
      <c r="N26" s="22" t="str">
        <f>VLOOKUP(F26,Data!$A$2:$E$12,5,false)</f>
        <v>#N/A</v>
      </c>
    </row>
    <row r="27" ht="15.75" customHeight="1">
      <c r="A27" s="27" t="str">
        <f>IFERROR(__xludf.DUMMYFUNCTION("""COMPUTED_VALUE"""),"K10")</f>
        <v>K10</v>
      </c>
      <c r="B27" s="27" t="str">
        <f>IFERROR(__xludf.DUMMYFUNCTION("""COMPUTED_VALUE"""),"As tears go by")</f>
        <v>As tears go by</v>
      </c>
      <c r="C27" s="27"/>
      <c r="D27" s="28" t="str">
        <f>IFERROR(__xludf.DUMMYFUNCTION("""COMPUTED_VALUE"""),"https://www.youtube.com/watch?v=FkLQrED71dU")</f>
        <v>https://www.youtube.com/watch?v=FkLQrED71dU</v>
      </c>
      <c r="E27" s="28" t="str">
        <f>IFERROR(__xludf.DUMMYFUNCTION("""COMPUTED_VALUE"""),"https://www.youtube.com/watch?v=3P0COo6jSlY")</f>
        <v>https://www.youtube.com/watch?v=3P0COo6jSlY</v>
      </c>
      <c r="F27" s="27"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c r="G27" s="27" t="str">
        <f>IFERROR(__xludf.DUMMYFUNCTION("""COMPUTED_VALUE"""),":)")</f>
        <v>:)</v>
      </c>
      <c r="H27" s="22">
        <f t="shared" ref="H27:I27" si="27">LEN(D27)</f>
        <v>43</v>
      </c>
      <c r="I27" s="22">
        <f t="shared" si="27"/>
        <v>43</v>
      </c>
      <c r="J27" s="12">
        <f t="shared" si="3"/>
        <v>1</v>
      </c>
      <c r="K27" s="12" t="str">
        <f>VLOOKUP(F27,Data!$A$2:$C$12,3,false)</f>
        <v>#N/A</v>
      </c>
      <c r="L27" s="12" t="str">
        <f>IF(G27,Data!$G$4,Data!$G$5)</f>
        <v>#VALUE!</v>
      </c>
      <c r="M27" s="22" t="str">
        <f>VLOOKUP(F27,Data!$A$2:$E$12,4,false)</f>
        <v>#N/A</v>
      </c>
      <c r="N27" s="22" t="str">
        <f>VLOOKUP(F27,Data!$A$2:$E$12,5,false)</f>
        <v>#N/A</v>
      </c>
    </row>
    <row r="28" ht="15.75" hidden="1" customHeight="1">
      <c r="A28" s="27" t="str">
        <f>IFERROR(__xludf.DUMMYFUNCTION("""COMPUTED_VALUE"""),"K11")</f>
        <v>K11</v>
      </c>
      <c r="B28" s="27" t="str">
        <f>IFERROR(__xludf.DUMMYFUNCTION("""COMPUTED_VALUE"""),"Mad World ")</f>
        <v>Mad World </v>
      </c>
      <c r="C28" s="27"/>
      <c r="D28" s="28" t="str">
        <f>IFERROR(__xludf.DUMMYFUNCTION("""COMPUTED_VALUE"""),"https://www.youtube.com/watch?v=u1ZvPSpLxCg")</f>
        <v>https://www.youtube.com/watch?v=u1ZvPSpLxCg</v>
      </c>
      <c r="E28" s="28" t="str">
        <f>IFERROR(__xludf.DUMMYFUNCTION("""COMPUTED_VALUE"""),"https://www.youtube.com/watch?v=u1ZvPSpLxCg")</f>
        <v>https://www.youtube.com/watch?v=u1ZvPSpLxCg</v>
      </c>
      <c r="F28" s="27"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c r="G28" s="27" t="str">
        <f>IFERROR(__xludf.DUMMYFUNCTION("""COMPUTED_VALUE"""),":)")</f>
        <v>:)</v>
      </c>
      <c r="H28" s="22">
        <f t="shared" ref="H28:I28" si="28">LEN(D28)</f>
        <v>43</v>
      </c>
      <c r="I28" s="22">
        <f t="shared" si="28"/>
        <v>43</v>
      </c>
      <c r="J28" s="12">
        <f t="shared" si="3"/>
        <v>1</v>
      </c>
      <c r="K28" s="12" t="str">
        <f>VLOOKUP(F28,Data!$A$2:$C$12,3,false)</f>
        <v>#N/A</v>
      </c>
      <c r="L28" s="12" t="str">
        <f>IF(G28,Data!$G$4,Data!$G$5)</f>
        <v>#VALUE!</v>
      </c>
      <c r="M28" s="22" t="str">
        <f>VLOOKUP(F28,Data!$A$2:$E$12,4,false)</f>
        <v>#N/A</v>
      </c>
      <c r="N28" s="22" t="str">
        <f>VLOOKUP(F28,Data!$A$2:$E$12,5,false)</f>
        <v>#N/A</v>
      </c>
    </row>
    <row r="29" ht="15.75" hidden="1" customHeight="1">
      <c r="A29" s="27" t="str">
        <f>IFERROR(__xludf.DUMMYFUNCTION("""COMPUTED_VALUE"""),"K12")</f>
        <v>K12</v>
      </c>
      <c r="B29" s="27" t="str">
        <f>IFERROR(__xludf.DUMMYFUNCTION("""COMPUTED_VALUE"""),"House of the rising sun")</f>
        <v>House of the rising sun</v>
      </c>
      <c r="C29" s="27"/>
      <c r="D29" s="28" t="str">
        <f>IFERROR(__xludf.DUMMYFUNCTION("""COMPUTED_VALUE"""),"https://www.youtube.com/watch?v=N4bFqW_eu2I")</f>
        <v>https://www.youtube.com/watch?v=N4bFqW_eu2I</v>
      </c>
      <c r="E29" s="28" t="str">
        <f>IFERROR(__xludf.DUMMYFUNCTION("""COMPUTED_VALUE"""),"https://www.youtube.com/watch?v=egdVf2B2UXE")</f>
        <v>https://www.youtube.com/watch?v=egdVf2B2UXE</v>
      </c>
      <c r="F29" s="27"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c r="G29" s="27" t="str">
        <f>IFERROR(__xludf.DUMMYFUNCTION("""COMPUTED_VALUE"""),":)")</f>
        <v>:)</v>
      </c>
      <c r="H29" s="22">
        <f t="shared" ref="H29:I29" si="29">LEN(D29)</f>
        <v>43</v>
      </c>
      <c r="I29" s="22">
        <f t="shared" si="29"/>
        <v>43</v>
      </c>
      <c r="J29" s="12">
        <f t="shared" si="3"/>
        <v>1</v>
      </c>
      <c r="K29" s="12" t="str">
        <f>VLOOKUP(F29,Data!$A$2:$C$12,3,false)</f>
        <v>#N/A</v>
      </c>
      <c r="L29" s="12" t="str">
        <f>IF(G29,Data!$G$4,Data!$G$5)</f>
        <v>#VALUE!</v>
      </c>
      <c r="M29" s="22" t="str">
        <f>VLOOKUP(F29,Data!$A$2:$E$12,4,false)</f>
        <v>#N/A</v>
      </c>
      <c r="N29" s="22" t="str">
        <f>VLOOKUP(F29,Data!$A$2:$E$12,5,false)</f>
        <v>#N/A</v>
      </c>
    </row>
    <row r="30" ht="15.75" hidden="1" customHeight="1">
      <c r="A30" s="27" t="str">
        <f>IFERROR(__xludf.DUMMYFUNCTION("""COMPUTED_VALUE"""),"N01")</f>
        <v>N01</v>
      </c>
      <c r="B30" s="27" t="str">
        <f>IFERROR(__xludf.DUMMYFUNCTION("""COMPUTED_VALUE"""),"A bolhási kertek alatt Kata")</f>
        <v>A bolhási kertek alatt Kata</v>
      </c>
      <c r="C30" s="27"/>
      <c r="D30" s="28" t="str">
        <f>IFERROR(__xludf.DUMMYFUNCTION("""COMPUTED_VALUE"""),"https://www.youtube.com/watch?v=NbEa-yckHgM")</f>
        <v>https://www.youtube.com/watch?v=NbEa-yckHgM</v>
      </c>
      <c r="E30" s="28" t="str">
        <f>IFERROR(__xludf.DUMMYFUNCTION("""COMPUTED_VALUE"""),"https://www.youtube.com/watch?v=NbEa-yckHgM")</f>
        <v>https://www.youtube.com/watch?v=NbEa-yckHgM</v>
      </c>
      <c r="F30" s="27"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c r="G30" s="27" t="str">
        <f>IFERROR(__xludf.DUMMYFUNCTION("""COMPUTED_VALUE"""),":)")</f>
        <v>:)</v>
      </c>
      <c r="H30" s="22">
        <f t="shared" ref="H30:I30" si="30">LEN(D30)</f>
        <v>43</v>
      </c>
      <c r="I30" s="22">
        <f t="shared" si="30"/>
        <v>43</v>
      </c>
      <c r="J30" s="12">
        <f t="shared" si="3"/>
        <v>1</v>
      </c>
      <c r="K30" s="12" t="str">
        <f>VLOOKUP(F30,Data!$A$2:$C$12,3,false)</f>
        <v>#N/A</v>
      </c>
      <c r="L30" s="12" t="str">
        <f>IF(G30,Data!$G$4,Data!$G$5)</f>
        <v>#VALUE!</v>
      </c>
      <c r="M30" s="22" t="str">
        <f>VLOOKUP(F30,Data!$A$2:$E$12,4,false)</f>
        <v>#N/A</v>
      </c>
      <c r="N30" s="22" t="str">
        <f>VLOOKUP(F30,Data!$A$2:$E$12,5,false)</f>
        <v>#N/A</v>
      </c>
    </row>
    <row r="31" ht="15.75" hidden="1" customHeight="1">
      <c r="A31" s="27" t="str">
        <f>IFERROR(__xludf.DUMMYFUNCTION("""COMPUTED_VALUE"""),"N02")</f>
        <v>N02</v>
      </c>
      <c r="B31" s="27" t="str">
        <f>IFERROR(__xludf.DUMMYFUNCTION("""COMPUTED_VALUE"""),"A szennai lipisen, laposon")</f>
        <v>A szennai lipisen, laposon</v>
      </c>
      <c r="C31" s="27"/>
      <c r="D31" s="28" t="str">
        <f>IFERROR(__xludf.DUMMYFUNCTION("""COMPUTED_VALUE"""),"https://www.youtube.com/watch?v=r4AITYAEaDM")</f>
        <v>https://www.youtube.com/watch?v=r4AITYAEaDM</v>
      </c>
      <c r="E31" s="28" t="str">
        <f>IFERROR(__xludf.DUMMYFUNCTION("""COMPUTED_VALUE"""),"https://www.youtube.com/watch?v=I7CgCDJ9s44")</f>
        <v>https://www.youtube.com/watch?v=I7CgCDJ9s44</v>
      </c>
      <c r="F31" s="27"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c r="G31" s="27" t="str">
        <f>IFERROR(__xludf.DUMMYFUNCTION("""COMPUTED_VALUE"""),":)")</f>
        <v>:)</v>
      </c>
      <c r="H31" s="22">
        <f t="shared" ref="H31:I31" si="31">LEN(D31)</f>
        <v>43</v>
      </c>
      <c r="I31" s="22">
        <f t="shared" si="31"/>
        <v>43</v>
      </c>
      <c r="J31" s="12">
        <f t="shared" si="3"/>
        <v>1</v>
      </c>
      <c r="K31" s="12" t="str">
        <f>VLOOKUP(F31,Data!$A$2:$C$12,3,false)</f>
        <v>#N/A</v>
      </c>
      <c r="L31" s="12" t="str">
        <f>IF(G31,Data!$G$4,Data!$G$5)</f>
        <v>#VALUE!</v>
      </c>
      <c r="M31" s="22" t="str">
        <f>VLOOKUP(F31,Data!$A$2:$E$12,4,false)</f>
        <v>#N/A</v>
      </c>
      <c r="N31" s="22" t="str">
        <f>VLOOKUP(F31,Data!$A$2:$E$12,5,false)</f>
        <v>#N/A</v>
      </c>
    </row>
    <row r="32" ht="15.75" hidden="1" customHeight="1">
      <c r="A32" s="27" t="str">
        <f>IFERROR(__xludf.DUMMYFUNCTION("""COMPUTED_VALUE"""),"N03")</f>
        <v>N03</v>
      </c>
      <c r="B32" s="27" t="str">
        <f>IFERROR(__xludf.DUMMYFUNCTION("""COMPUTED_VALUE"""),"Általmennék én a Tiszán ladikon")</f>
        <v>Általmennék én a Tiszán ladikon</v>
      </c>
      <c r="C32" s="27"/>
      <c r="D32" s="28" t="str">
        <f>IFERROR(__xludf.DUMMYFUNCTION("""COMPUTED_VALUE"""),"https://www.youtube.com/watch?v=ml7QV_uUcAI")</f>
        <v>https://www.youtube.com/watch?v=ml7QV_uUcAI</v>
      </c>
      <c r="E32" s="28" t="str">
        <f>IFERROR(__xludf.DUMMYFUNCTION("""COMPUTED_VALUE"""),"https://www.youtube.com/watch?v=K9sXsJc285k")</f>
        <v>https://www.youtube.com/watch?v=K9sXsJc285k</v>
      </c>
      <c r="F32" s="27"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c r="G32" s="27" t="str">
        <f>IFERROR(__xludf.DUMMYFUNCTION("""COMPUTED_VALUE"""),":)")</f>
        <v>:)</v>
      </c>
      <c r="H32" s="22">
        <f t="shared" ref="H32:I32" si="32">LEN(D32)</f>
        <v>43</v>
      </c>
      <c r="I32" s="22">
        <f t="shared" si="32"/>
        <v>43</v>
      </c>
      <c r="J32" s="12">
        <f t="shared" si="3"/>
        <v>1</v>
      </c>
      <c r="K32" s="12" t="str">
        <f>VLOOKUP(F32,Data!$A$2:$C$12,3,false)</f>
        <v>#N/A</v>
      </c>
      <c r="L32" s="12" t="str">
        <f>IF(G32,Data!$G$4,Data!$G$5)</f>
        <v>#VALUE!</v>
      </c>
      <c r="M32" s="22" t="str">
        <f>VLOOKUP(F32,Data!$A$2:$E$12,4,false)</f>
        <v>#N/A</v>
      </c>
      <c r="N32" s="22" t="str">
        <f>VLOOKUP(F32,Data!$A$2:$E$12,5,false)</f>
        <v>#N/A</v>
      </c>
    </row>
    <row r="33" ht="15.75" hidden="1" customHeight="1">
      <c r="A33" s="27" t="str">
        <f>IFERROR(__xludf.DUMMYFUNCTION("""COMPUTED_VALUE"""),"N04")</f>
        <v>N04</v>
      </c>
      <c r="B33" s="27" t="str">
        <f>IFERROR(__xludf.DUMMYFUNCTION("""COMPUTED_VALUE"""),"Erdő, erdő, erdő")</f>
        <v>Erdő, erdő, erdő</v>
      </c>
      <c r="C33" s="27"/>
      <c r="D33" s="28" t="str">
        <f>IFERROR(__xludf.DUMMYFUNCTION("""COMPUTED_VALUE"""),"https://www.youtube.com/watch?v=GUNF_SGlKRI")</f>
        <v>https://www.youtube.com/watch?v=GUNF_SGlKRI</v>
      </c>
      <c r="E33" s="28" t="str">
        <f>IFERROR(__xludf.DUMMYFUNCTION("""COMPUTED_VALUE"""),"https://www.youtube.com/watch?v=CPeqf0gU-tY")</f>
        <v>https://www.youtube.com/watch?v=CPeqf0gU-tY</v>
      </c>
      <c r="F33" s="27"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c r="G33" s="27" t="str">
        <f>IFERROR(__xludf.DUMMYFUNCTION("""COMPUTED_VALUE"""),":)")</f>
        <v>:)</v>
      </c>
      <c r="H33" s="22">
        <f t="shared" ref="H33:I33" si="33">LEN(D33)</f>
        <v>43</v>
      </c>
      <c r="I33" s="22">
        <f t="shared" si="33"/>
        <v>43</v>
      </c>
      <c r="J33" s="12">
        <f t="shared" si="3"/>
        <v>1</v>
      </c>
      <c r="K33" s="12" t="str">
        <f>VLOOKUP(F33,Data!$A$2:$C$12,3,false)</f>
        <v>#N/A</v>
      </c>
      <c r="L33" s="12" t="str">
        <f>IF(G33,Data!$G$4,Data!$G$5)</f>
        <v>#VALUE!</v>
      </c>
      <c r="M33" s="22" t="str">
        <f>VLOOKUP(F33,Data!$A$2:$E$12,4,false)</f>
        <v>#N/A</v>
      </c>
      <c r="N33" s="22" t="str">
        <f>VLOOKUP(F33,Data!$A$2:$E$12,5,false)</f>
        <v>#N/A</v>
      </c>
    </row>
    <row r="34" ht="15.75" hidden="1" customHeight="1">
      <c r="A34" s="27" t="str">
        <f>IFERROR(__xludf.DUMMYFUNCTION("""COMPUTED_VALUE"""),"N05")</f>
        <v>N05</v>
      </c>
      <c r="B34" s="27" t="str">
        <f>IFERROR(__xludf.DUMMYFUNCTION("""COMPUTED_VALUE"""),"Érik a szőlő")</f>
        <v>Érik a szőlő</v>
      </c>
      <c r="C34" s="27"/>
      <c r="D34" s="28" t="str">
        <f>IFERROR(__xludf.DUMMYFUNCTION("""COMPUTED_VALUE"""),"https://www.youtube.com/watch?v=uMwjJVr8DEY")</f>
        <v>https://www.youtube.com/watch?v=uMwjJVr8DEY</v>
      </c>
      <c r="E34" s="28" t="str">
        <f>IFERROR(__xludf.DUMMYFUNCTION("""COMPUTED_VALUE"""),"https://www.youtube.com/watch?v=tKHHnjrpPrM")</f>
        <v>https://www.youtube.com/watch?v=tKHHnjrpPrM</v>
      </c>
      <c r="F34" s="27"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c r="G34" s="27" t="str">
        <f>IFERROR(__xludf.DUMMYFUNCTION("""COMPUTED_VALUE"""),":)")</f>
        <v>:)</v>
      </c>
      <c r="H34" s="22">
        <f t="shared" ref="H34:I34" si="34">LEN(D34)</f>
        <v>43</v>
      </c>
      <c r="I34" s="22">
        <f t="shared" si="34"/>
        <v>43</v>
      </c>
      <c r="J34" s="12">
        <f t="shared" si="3"/>
        <v>1</v>
      </c>
      <c r="K34" s="12" t="str">
        <f>VLOOKUP(F34,Data!$A$2:$C$12,3,false)</f>
        <v>#N/A</v>
      </c>
      <c r="L34" s="12" t="str">
        <f>IF(G34,Data!$G$4,Data!$G$5)</f>
        <v>#VALUE!</v>
      </c>
      <c r="M34" s="22" t="str">
        <f>VLOOKUP(F34,Data!$A$2:$E$12,4,false)</f>
        <v>#N/A</v>
      </c>
      <c r="N34" s="22" t="str">
        <f>VLOOKUP(F34,Data!$A$2:$E$12,5,false)</f>
        <v>#N/A</v>
      </c>
    </row>
    <row r="35" ht="15.75" hidden="1" customHeight="1">
      <c r="A35" s="27" t="str">
        <f>IFERROR(__xludf.DUMMYFUNCTION("""COMPUTED_VALUE"""),"N06")</f>
        <v>N06</v>
      </c>
      <c r="B35" s="27" t="str">
        <f>IFERROR(__xludf.DUMMYFUNCTION("""COMPUTED_VALUE"""),"Hej, Vargáné káposztát főz")</f>
        <v>Hej, Vargáné káposztát főz</v>
      </c>
      <c r="C35" s="27"/>
      <c r="D35" s="28" t="str">
        <f>IFERROR(__xludf.DUMMYFUNCTION("""COMPUTED_VALUE"""),"https://www.youtube.com/watch?v=1_FHTSlAyZc")</f>
        <v>https://www.youtube.com/watch?v=1_FHTSlAyZc</v>
      </c>
      <c r="E35" s="28" t="str">
        <f>IFERROR(__xludf.DUMMYFUNCTION("""COMPUTED_VALUE"""),"https://www.youtube.com/watch?v=n6i7x6VXd5w")</f>
        <v>https://www.youtube.com/watch?v=n6i7x6VXd5w</v>
      </c>
      <c r="F35" s="27"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c r="G35" s="27" t="str">
        <f>IFERROR(__xludf.DUMMYFUNCTION("""COMPUTED_VALUE"""),":)")</f>
        <v>:)</v>
      </c>
      <c r="H35" s="22">
        <f t="shared" ref="H35:I35" si="35">LEN(D35)</f>
        <v>43</v>
      </c>
      <c r="I35" s="22">
        <f t="shared" si="35"/>
        <v>43</v>
      </c>
      <c r="J35" s="12">
        <f t="shared" si="3"/>
        <v>1</v>
      </c>
      <c r="K35" s="12" t="str">
        <f>VLOOKUP(F35,Data!$A$2:$C$12,3,false)</f>
        <v>#N/A</v>
      </c>
      <c r="L35" s="12" t="str">
        <f>IF(G35,Data!$G$4,Data!$G$5)</f>
        <v>#VALUE!</v>
      </c>
      <c r="M35" s="22" t="str">
        <f>VLOOKUP(F35,Data!$A$2:$E$12,4,false)</f>
        <v>#N/A</v>
      </c>
      <c r="N35" s="22" t="str">
        <f>VLOOKUP(F35,Data!$A$2:$E$12,5,false)</f>
        <v>#N/A</v>
      </c>
    </row>
    <row r="36" ht="15.75" hidden="1" customHeight="1">
      <c r="A36" s="27" t="str">
        <f>IFERROR(__xludf.DUMMYFUNCTION("""COMPUTED_VALUE"""),"N07")</f>
        <v>N07</v>
      </c>
      <c r="B36" s="27" t="str">
        <f>IFERROR(__xludf.DUMMYFUNCTION("""COMPUTED_VALUE"""),"Hol jártál az éjjel, cinegemadár")</f>
        <v>Hol jártál az éjjel, cinegemadár</v>
      </c>
      <c r="C36" s="27"/>
      <c r="D36" s="28" t="str">
        <f>IFERROR(__xludf.DUMMYFUNCTION("""COMPUTED_VALUE"""),"https://www.youtube.com/watch?v=zFMBq-kjtco")</f>
        <v>https://www.youtube.com/watch?v=zFMBq-kjtco</v>
      </c>
      <c r="E36" s="28" t="str">
        <f>IFERROR(__xludf.DUMMYFUNCTION("""COMPUTED_VALUE"""),"https://www.youtube.com/watch?v=OB11pWRvpvM")</f>
        <v>https://www.youtube.com/watch?v=OB11pWRvpvM</v>
      </c>
      <c r="F36" s="27"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c r="G36" s="27" t="str">
        <f>IFERROR(__xludf.DUMMYFUNCTION("""COMPUTED_VALUE"""),":)")</f>
        <v>:)</v>
      </c>
      <c r="H36" s="22">
        <f t="shared" ref="H36:I36" si="36">LEN(D36)</f>
        <v>43</v>
      </c>
      <c r="I36" s="22">
        <f t="shared" si="36"/>
        <v>43</v>
      </c>
      <c r="J36" s="12">
        <f t="shared" si="3"/>
        <v>1</v>
      </c>
      <c r="K36" s="12" t="str">
        <f>VLOOKUP(F36,Data!$A$2:$C$12,3,false)</f>
        <v>#N/A</v>
      </c>
      <c r="L36" s="12" t="str">
        <f>IF(G36,Data!$G$4,Data!$G$5)</f>
        <v>#VALUE!</v>
      </c>
      <c r="M36" s="22" t="str">
        <f>VLOOKUP(F36,Data!$A$2:$E$12,4,false)</f>
        <v>#N/A</v>
      </c>
      <c r="N36" s="22" t="str">
        <f>VLOOKUP(F36,Data!$A$2:$E$12,5,false)</f>
        <v>#N/A</v>
      </c>
    </row>
    <row r="37" ht="15.75" hidden="1" customHeight="1">
      <c r="A37" s="27" t="str">
        <f>IFERROR(__xludf.DUMMYFUNCTION("""COMPUTED_VALUE"""),"N08")</f>
        <v>N08</v>
      </c>
      <c r="B37" s="27" t="str">
        <f>IFERROR(__xludf.DUMMYFUNCTION("""COMPUTED_VALUE"""),"Hull a szilva a fáról")</f>
        <v>Hull a szilva a fáról</v>
      </c>
      <c r="C37" s="27"/>
      <c r="D37" s="28" t="str">
        <f>IFERROR(__xludf.DUMMYFUNCTION("""COMPUTED_VALUE"""),"https://www.youtube.com/watch?v=O-YSzVszlrc")</f>
        <v>https://www.youtube.com/watch?v=O-YSzVszlrc</v>
      </c>
      <c r="E37" s="28" t="str">
        <f>IFERROR(__xludf.DUMMYFUNCTION("""COMPUTED_VALUE"""),"https://www.youtube.com/watch?v=rDqG1BI56wo")</f>
        <v>https://www.youtube.com/watch?v=rDqG1BI56wo</v>
      </c>
      <c r="F37" s="27"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c r="G37" s="27" t="str">
        <f>IFERROR(__xludf.DUMMYFUNCTION("""COMPUTED_VALUE"""),":)")</f>
        <v>:)</v>
      </c>
      <c r="H37" s="22">
        <f t="shared" ref="H37:I37" si="37">LEN(D37)</f>
        <v>43</v>
      </c>
      <c r="I37" s="22">
        <f t="shared" si="37"/>
        <v>43</v>
      </c>
      <c r="J37" s="12">
        <f t="shared" si="3"/>
        <v>1</v>
      </c>
      <c r="K37" s="12" t="str">
        <f>VLOOKUP(F37,Data!$A$2:$C$12,3,false)</f>
        <v>#N/A</v>
      </c>
      <c r="L37" s="12" t="str">
        <f>IF(G37,Data!$G$4,Data!$G$5)</f>
        <v>#VALUE!</v>
      </c>
      <c r="M37" s="22" t="str">
        <f>VLOOKUP(F37,Data!$A$2:$E$12,4,false)</f>
        <v>#N/A</v>
      </c>
      <c r="N37" s="22" t="str">
        <f>VLOOKUP(F37,Data!$A$2:$E$12,5,false)</f>
        <v>#N/A</v>
      </c>
    </row>
    <row r="38" ht="15.75" hidden="1" customHeight="1">
      <c r="A38" s="27" t="str">
        <f>IFERROR(__xludf.DUMMYFUNCTION("""COMPUTED_VALUE"""),"N09")</f>
        <v>N09</v>
      </c>
      <c r="B38" s="27" t="str">
        <f>IFERROR(__xludf.DUMMYFUNCTION("""COMPUTED_VALUE"""),"Láttál- e már valaha")</f>
        <v>Láttál- e már valaha</v>
      </c>
      <c r="C38" s="27"/>
      <c r="D38" s="28" t="str">
        <f>IFERROR(__xludf.DUMMYFUNCTION("""COMPUTED_VALUE"""),"https://www.youtube.com/watch?v=E4Pyrno1uX8&amp;list=RDE4Pyrno1uX8&amp;start_radio=1")</f>
        <v>https://www.youtube.com/watch?v=E4Pyrno1uX8&amp;list=RDE4Pyrno1uX8&amp;start_radio=1</v>
      </c>
      <c r="E38" s="28" t="str">
        <f>IFERROR(__xludf.DUMMYFUNCTION("""COMPUTED_VALUE"""),"https://www.youtube.com/watch?v=E4Pyrno1uX8")</f>
        <v>https://www.youtube.com/watch?v=E4Pyrno1uX8</v>
      </c>
      <c r="F38" s="27"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c r="G38" s="27" t="str">
        <f>IFERROR(__xludf.DUMMYFUNCTION("""COMPUTED_VALUE"""),":)")</f>
        <v>:)</v>
      </c>
      <c r="H38" s="22">
        <f t="shared" ref="H38:I38" si="38">LEN(D38)</f>
        <v>76</v>
      </c>
      <c r="I38" s="22">
        <f t="shared" si="38"/>
        <v>43</v>
      </c>
      <c r="J38" s="12">
        <f t="shared" si="3"/>
        <v>1</v>
      </c>
      <c r="K38" s="12" t="str">
        <f>VLOOKUP(F38,Data!$A$2:$C$12,3,false)</f>
        <v>#N/A</v>
      </c>
      <c r="L38" s="12" t="str">
        <f>IF(G38,Data!$G$4,Data!$G$5)</f>
        <v>#VALUE!</v>
      </c>
      <c r="M38" s="22" t="str">
        <f>VLOOKUP(F38,Data!$A$2:$E$12,4,false)</f>
        <v>#N/A</v>
      </c>
      <c r="N38" s="22" t="str">
        <f>VLOOKUP(F38,Data!$A$2:$E$12,5,false)</f>
        <v>#N/A</v>
      </c>
    </row>
    <row r="39" ht="15.75" hidden="1" customHeight="1">
      <c r="A39" s="27" t="str">
        <f>IFERROR(__xludf.DUMMYFUNCTION("""COMPUTED_VALUE"""),"N10")</f>
        <v>N10</v>
      </c>
      <c r="B39" s="27" t="str">
        <f>IFERROR(__xludf.DUMMYFUNCTION("""COMPUTED_VALUE"""),"Tavaszi szél vizet áraszt")</f>
        <v>Tavaszi szél vizet áraszt</v>
      </c>
      <c r="C39" s="27"/>
      <c r="D39" s="28" t="str">
        <f>IFERROR(__xludf.DUMMYFUNCTION("""COMPUTED_VALUE"""),"https://www.youtube.com/watch?v=dCB66y5haBU")</f>
        <v>https://www.youtube.com/watch?v=dCB66y5haBU</v>
      </c>
      <c r="E39" s="28" t="str">
        <f>IFERROR(__xludf.DUMMYFUNCTION("""COMPUTED_VALUE"""),"https://www.youtube.com/watch?v=dCB66y5haBU")</f>
        <v>https://www.youtube.com/watch?v=dCB66y5haBU</v>
      </c>
      <c r="F39" s="27"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c r="G39" s="27" t="str">
        <f>IFERROR(__xludf.DUMMYFUNCTION("""COMPUTED_VALUE"""),":)")</f>
        <v>:)</v>
      </c>
      <c r="H39" s="22">
        <f t="shared" ref="H39:I39" si="39">LEN(D39)</f>
        <v>43</v>
      </c>
      <c r="I39" s="22">
        <f t="shared" si="39"/>
        <v>43</v>
      </c>
      <c r="J39" s="12">
        <f t="shared" si="3"/>
        <v>1</v>
      </c>
      <c r="K39" s="12" t="str">
        <f>VLOOKUP(F39,Data!$A$2:$C$12,3,false)</f>
        <v>#N/A</v>
      </c>
      <c r="L39" s="12" t="str">
        <f>IF(G39,Data!$G$4,Data!$G$5)</f>
        <v>#VALUE!</v>
      </c>
      <c r="M39" s="22" t="str">
        <f>VLOOKUP(F39,Data!$A$2:$E$12,4,false)</f>
        <v>#N/A</v>
      </c>
      <c r="N39" s="22" t="str">
        <f>VLOOKUP(F39,Data!$A$2:$E$12,5,false)</f>
        <v>#N/A</v>
      </c>
    </row>
    <row r="40" ht="15.75" hidden="1" customHeight="1">
      <c r="A40" s="27" t="str">
        <f>IFERROR(__xludf.DUMMYFUNCTION("""COMPUTED_VALUE"""),"S01")</f>
        <v>S01</v>
      </c>
      <c r="B40" s="27" t="str">
        <f>IFERROR(__xludf.DUMMYFUNCTION("""COMPUTED_VALUE"""),"Hé haver!")</f>
        <v>Hé haver!</v>
      </c>
      <c r="C40" s="27"/>
      <c r="D40" s="27"/>
      <c r="E40" s="27" t="str">
        <f>IFERROR(__xludf.DUMMYFUNCTION("""COMPUTED_VALUE"""),"-")</f>
        <v>-</v>
      </c>
      <c r="F40" s="27"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c r="G40" s="27" t="str">
        <f>IFERROR(__xludf.DUMMYFUNCTION("""COMPUTED_VALUE"""),":)")</f>
        <v>:)</v>
      </c>
      <c r="H40" s="22">
        <f t="shared" ref="H40:I40" si="40">LEN(D40)</f>
        <v>0</v>
      </c>
      <c r="I40" s="22">
        <f t="shared" si="40"/>
        <v>1</v>
      </c>
      <c r="J40" s="12">
        <f t="shared" si="3"/>
        <v>0</v>
      </c>
      <c r="K40" s="12" t="str">
        <f>VLOOKUP(F40,Data!$A$2:$C$12,3,false)</f>
        <v>#N/A</v>
      </c>
      <c r="L40" s="12" t="str">
        <f>IF(G40,Data!$G$4,Data!$G$5)</f>
        <v>#VALUE!</v>
      </c>
      <c r="M40" s="22" t="str">
        <f>VLOOKUP(F40,Data!$A$2:$E$12,4,false)</f>
        <v>#N/A</v>
      </c>
      <c r="N40" s="22" t="str">
        <f>VLOOKUP(F40,Data!$A$2:$E$12,5,false)</f>
        <v>#N/A</v>
      </c>
    </row>
    <row r="41" ht="15.75" hidden="1" customHeight="1">
      <c r="A41" s="27" t="str">
        <f>IFERROR(__xludf.DUMMYFUNCTION("""COMPUTED_VALUE"""),"S02")</f>
        <v>S02</v>
      </c>
      <c r="B41" s="27" t="str">
        <f>IFERROR(__xludf.DUMMYFUNCTION("""COMPUTED_VALUE"""),"Hine kulanu….")</f>
        <v>Hine kulanu….</v>
      </c>
      <c r="C41" s="27"/>
      <c r="D41" s="27"/>
      <c r="E41" s="27" t="str">
        <f>IFERROR(__xludf.DUMMYFUNCTION("""COMPUTED_VALUE"""),"-")</f>
        <v>-</v>
      </c>
      <c r="F41" s="27"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c r="G41" s="27" t="str">
        <f>IFERROR(__xludf.DUMMYFUNCTION("""COMPUTED_VALUE"""),":)")</f>
        <v>:)</v>
      </c>
      <c r="H41" s="22">
        <f t="shared" ref="H41:I41" si="41">LEN(D41)</f>
        <v>0</v>
      </c>
      <c r="I41" s="22">
        <f t="shared" si="41"/>
        <v>1</v>
      </c>
      <c r="J41" s="12">
        <f t="shared" si="3"/>
        <v>0</v>
      </c>
      <c r="K41" s="12" t="str">
        <f>VLOOKUP(F41,Data!$A$2:$C$12,3,false)</f>
        <v>#N/A</v>
      </c>
      <c r="L41" s="12" t="str">
        <f>IF(G41,Data!$G$4,Data!$G$5)</f>
        <v>#VALUE!</v>
      </c>
      <c r="M41" s="22" t="str">
        <f>VLOOKUP(F41,Data!$A$2:$E$12,4,false)</f>
        <v>#N/A</v>
      </c>
      <c r="N41" s="22" t="str">
        <f>VLOOKUP(F41,Data!$A$2:$E$12,5,false)</f>
        <v>#N/A</v>
      </c>
    </row>
    <row r="42" ht="15.75" hidden="1" customHeight="1">
      <c r="A42" s="27" t="str">
        <f>IFERROR(__xludf.DUMMYFUNCTION("""COMPUTED_VALUE"""),"S03")</f>
        <v>S03</v>
      </c>
      <c r="B42" s="27" t="str">
        <f>IFERROR(__xludf.DUMMYFUNCTION("""COMPUTED_VALUE"""),"Minden fejre áll ")</f>
        <v>Minden fejre áll </v>
      </c>
      <c r="C42" s="27"/>
      <c r="D42" s="27"/>
      <c r="E42" s="28" t="str">
        <f>IFERROR(__xludf.DUMMYFUNCTION("""COMPUTED_VALUE"""),"https://www.youtube.com/watch?v=xpm9lit98mc")</f>
        <v>https://www.youtube.com/watch?v=xpm9lit98mc</v>
      </c>
      <c r="F42" s="27"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c r="G42" s="27" t="str">
        <f>IFERROR(__xludf.DUMMYFUNCTION("""COMPUTED_VALUE"""),":)")</f>
        <v>:)</v>
      </c>
      <c r="H42" s="22">
        <f t="shared" ref="H42:I42" si="42">LEN(D42)</f>
        <v>0</v>
      </c>
      <c r="I42" s="22">
        <f t="shared" si="42"/>
        <v>43</v>
      </c>
      <c r="J42" s="12">
        <f t="shared" si="3"/>
        <v>0</v>
      </c>
      <c r="K42" s="12" t="str">
        <f>VLOOKUP(F42,Data!$A$2:$C$12,3,false)</f>
        <v>#N/A</v>
      </c>
      <c r="L42" s="12" t="str">
        <f>IF(G42,Data!$G$4,Data!$G$5)</f>
        <v>#VALUE!</v>
      </c>
      <c r="M42" s="22" t="str">
        <f>VLOOKUP(F42,Data!$A$2:$E$12,4,false)</f>
        <v>#N/A</v>
      </c>
      <c r="N42" s="22" t="str">
        <f>VLOOKUP(F42,Data!$A$2:$E$12,5,false)</f>
        <v>#N/A</v>
      </c>
    </row>
    <row r="43" ht="15.75" hidden="1" customHeight="1">
      <c r="A43" s="27" t="str">
        <f>IFERROR(__xludf.DUMMYFUNCTION("""COMPUTED_VALUE"""),"S04")</f>
        <v>S04</v>
      </c>
      <c r="B43" s="27" t="str">
        <f>IFERROR(__xludf.DUMMYFUNCTION("""COMPUTED_VALUE"""),"Cofi himnusz")</f>
        <v>Cofi himnusz</v>
      </c>
      <c r="C43" s="27"/>
      <c r="D43" s="27"/>
      <c r="E43" s="28" t="str">
        <f>IFERROR(__xludf.DUMMYFUNCTION("""COMPUTED_VALUE"""),"https://www.youtube.com/watch?v=m9LgCRp0B0Q")</f>
        <v>https://www.youtube.com/watch?v=m9LgCRp0B0Q</v>
      </c>
      <c r="F43" s="27"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c r="G43" s="27" t="str">
        <f>IFERROR(__xludf.DUMMYFUNCTION("""COMPUTED_VALUE"""),":)")</f>
        <v>:)</v>
      </c>
      <c r="H43" s="22">
        <f t="shared" ref="H43:I43" si="43">LEN(D43)</f>
        <v>0</v>
      </c>
      <c r="I43" s="22">
        <f t="shared" si="43"/>
        <v>43</v>
      </c>
      <c r="J43" s="12">
        <f t="shared" si="3"/>
        <v>0</v>
      </c>
      <c r="K43" s="12" t="str">
        <f>VLOOKUP(F43,Data!$A$2:$C$12,3,false)</f>
        <v>#N/A</v>
      </c>
      <c r="L43" s="12" t="str">
        <f>IF(G43,Data!$G$4,Data!$G$5)</f>
        <v>#VALUE!</v>
      </c>
      <c r="M43" s="22" t="str">
        <f>VLOOKUP(F43,Data!$A$2:$E$12,4,false)</f>
        <v>#N/A</v>
      </c>
      <c r="N43" s="22" t="str">
        <f>VLOOKUP(F43,Data!$A$2:$E$12,5,false)</f>
        <v>#N/A</v>
      </c>
    </row>
    <row r="44" ht="15.75" hidden="1" customHeight="1">
      <c r="A44" s="27" t="str">
        <f>IFERROR(__xludf.DUMMYFUNCTION("""COMPUTED_VALUE"""),"S05")</f>
        <v>S05</v>
      </c>
      <c r="B44" s="27" t="str">
        <f>IFERROR(__xludf.DUMMYFUNCTION("""COMPUTED_VALUE"""),"Cserkész Altató")</f>
        <v>Cserkész Altató</v>
      </c>
      <c r="C44" s="27"/>
      <c r="D44" s="27"/>
      <c r="E44" s="27" t="str">
        <f>IFERROR(__xludf.DUMMYFUNCTION("""COMPUTED_VALUE"""),"-")</f>
        <v>-</v>
      </c>
      <c r="F44" s="27"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c r="G44" s="27" t="str">
        <f>IFERROR(__xludf.DUMMYFUNCTION("""COMPUTED_VALUE"""),":)")</f>
        <v>:)</v>
      </c>
      <c r="H44" s="22">
        <f t="shared" ref="H44:I44" si="44">LEN(D44)</f>
        <v>0</v>
      </c>
      <c r="I44" s="22">
        <f t="shared" si="44"/>
        <v>1</v>
      </c>
      <c r="J44" s="12">
        <f t="shared" si="3"/>
        <v>0</v>
      </c>
      <c r="K44" s="12" t="str">
        <f>VLOOKUP(F44,Data!$A$2:$C$12,3,false)</f>
        <v>#N/A</v>
      </c>
      <c r="L44" s="12" t="str">
        <f>IF(G44,Data!$G$4,Data!$G$5)</f>
        <v>#VALUE!</v>
      </c>
      <c r="M44" s="22" t="str">
        <f>VLOOKUP(F44,Data!$A$2:$E$12,4,false)</f>
        <v>#N/A</v>
      </c>
      <c r="N44" s="22" t="str">
        <f>VLOOKUP(F44,Data!$A$2:$E$12,5,false)</f>
        <v>#N/A</v>
      </c>
    </row>
    <row r="45" ht="15.75" hidden="1" customHeight="1">
      <c r="A45" s="27" t="str">
        <f>IFERROR(__xludf.DUMMYFUNCTION("""COMPUTED_VALUE"""),"S06")</f>
        <v>S06</v>
      </c>
      <c r="B45" s="27" t="str">
        <f>IFERROR(__xludf.DUMMYFUNCTION("""COMPUTED_VALUE"""),"Sir hápártizánim")</f>
        <v>Sir hápártizánim</v>
      </c>
      <c r="C45" s="27" t="str">
        <f>IFERROR(__xludf.DUMMYFUNCTION("""COMPUTED_VALUE"""),"שיר הפרטיזנים")</f>
        <v>שיר הפרטיזנים</v>
      </c>
      <c r="D45" s="28" t="str">
        <f>IFERROR(__xludf.DUMMYFUNCTION("""COMPUTED_VALUE"""),"https://www.youtube.com/watch?v=tCVfV_9V578")</f>
        <v>https://www.youtube.com/watch?v=tCVfV_9V578</v>
      </c>
      <c r="E45" s="27"/>
      <c r="F45" s="27"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c r="G45" s="27" t="str">
        <f>IFERROR(__xludf.DUMMYFUNCTION("""COMPUTED_VALUE"""),":)")</f>
        <v>:)</v>
      </c>
      <c r="H45" s="22">
        <f t="shared" ref="H45:I45" si="45">LEN(D45)</f>
        <v>43</v>
      </c>
      <c r="I45" s="22">
        <f t="shared" si="45"/>
        <v>0</v>
      </c>
      <c r="J45" s="12">
        <f t="shared" si="3"/>
        <v>1</v>
      </c>
      <c r="K45" s="12" t="str">
        <f>VLOOKUP(F45,Data!$A$2:$C$12,3,false)</f>
        <v>#N/A</v>
      </c>
      <c r="L45" s="12" t="str">
        <f>IF(G45,Data!$G$4,Data!$G$5)</f>
        <v>#VALUE!</v>
      </c>
      <c r="M45" s="22" t="str">
        <f>VLOOKUP(F45,Data!$A$2:$E$12,4,false)</f>
        <v>#N/A</v>
      </c>
      <c r="N45" s="22" t="str">
        <f>VLOOKUP(F45,Data!$A$2:$E$12,5,false)</f>
        <v>#N/A</v>
      </c>
    </row>
    <row r="46" ht="15.75" customHeight="1">
      <c r="A46" s="27" t="str">
        <f>IFERROR(__xludf.DUMMYFUNCTION("""COMPUTED_VALUE"""),"S07")</f>
        <v>S07</v>
      </c>
      <c r="B46" s="27" t="str">
        <f>IFERROR(__xludf.DUMMYFUNCTION("""COMPUTED_VALUE"""),"A partizánok dala")</f>
        <v>A partizánok dala</v>
      </c>
      <c r="C46" s="27"/>
      <c r="D46" s="28" t="str">
        <f>IFERROR(__xludf.DUMMYFUNCTION("""COMPUTED_VALUE"""),"https://www.youtube.com/watch?v=tCVfV_9V578")</f>
        <v>https://www.youtube.com/watch?v=tCVfV_9V578</v>
      </c>
      <c r="E46" s="27" t="str">
        <f>IFERROR(__xludf.DUMMYFUNCTION("""COMPUTED_VALUE"""),"-")</f>
        <v>-</v>
      </c>
      <c r="F46" s="27"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c r="G46" s="27" t="str">
        <f>IFERROR(__xludf.DUMMYFUNCTION("""COMPUTED_VALUE"""),":)")</f>
        <v>:)</v>
      </c>
      <c r="H46" s="22">
        <f t="shared" ref="H46:I46" si="46">LEN(D46)</f>
        <v>43</v>
      </c>
      <c r="I46" s="22">
        <f t="shared" si="46"/>
        <v>1</v>
      </c>
      <c r="J46" s="12">
        <f t="shared" si="3"/>
        <v>1</v>
      </c>
      <c r="K46" s="12" t="str">
        <f>VLOOKUP(F46,Data!$A$2:$C$12,3,false)</f>
        <v>#N/A</v>
      </c>
      <c r="L46" s="12" t="str">
        <f>IF(G46,Data!$G$4,Data!$G$5)</f>
        <v>#VALUE!</v>
      </c>
      <c r="M46" s="22" t="str">
        <f>VLOOKUP(F46,Data!$A$2:$E$12,4,false)</f>
        <v>#N/A</v>
      </c>
      <c r="N46" s="22" t="str">
        <f>VLOOKUP(F46,Data!$A$2:$E$12,5,false)</f>
        <v>#N/A</v>
      </c>
    </row>
    <row r="47" ht="15.75" customHeight="1">
      <c r="A47" s="27" t="str">
        <f>IFERROR(__xludf.DUMMYFUNCTION("""COMPUTED_VALUE"""),"T01")</f>
        <v>T01</v>
      </c>
      <c r="B47" s="27" t="str">
        <f>IFERROR(__xludf.DUMMYFUNCTION("""COMPUTED_VALUE"""),"Azt hittem érdemes")</f>
        <v>Azt hittem érdemes</v>
      </c>
      <c r="C47" s="27" t="str">
        <f>IFERROR(__xludf.DUMMYFUNCTION("""COMPUTED_VALUE"""),"(1/2)")</f>
        <v>(1/2)</v>
      </c>
      <c r="D47" s="28" t="str">
        <f>IFERROR(__xludf.DUMMYFUNCTION("""COMPUTED_VALUE"""),"https://www.youtube.com/watch?v=gV4j105Cztw")</f>
        <v>https://www.youtube.com/watch?v=gV4j105Cztw</v>
      </c>
      <c r="E47" s="27"/>
      <c r="F47" s="27"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c r="G47" s="27" t="str">
        <f>IFERROR(__xludf.DUMMYFUNCTION("""COMPUTED_VALUE"""),":)")</f>
        <v>:)</v>
      </c>
      <c r="H47" s="22">
        <f t="shared" ref="H47:I47" si="47">LEN(D47)</f>
        <v>43</v>
      </c>
      <c r="I47" s="22">
        <f t="shared" si="47"/>
        <v>0</v>
      </c>
      <c r="J47" s="12">
        <f t="shared" si="3"/>
        <v>1</v>
      </c>
      <c r="K47" s="12" t="str">
        <f>VLOOKUP(F47,Data!$A$2:$C$12,3,false)</f>
        <v>#N/A</v>
      </c>
      <c r="L47" s="12" t="str">
        <f>IF(G47,Data!$G$4,Data!$G$5)</f>
        <v>#VALUE!</v>
      </c>
      <c r="M47" s="22" t="str">
        <f>VLOOKUP(F47,Data!$A$2:$E$12,4,false)</f>
        <v>#N/A</v>
      </c>
      <c r="N47" s="22" t="str">
        <f>VLOOKUP(F47,Data!$A$2:$E$12,5,false)</f>
        <v>#N/A</v>
      </c>
    </row>
    <row r="48" ht="15.75" hidden="1" customHeight="1">
      <c r="A48" s="27" t="str">
        <f>IFERROR(__xludf.DUMMYFUNCTION("""COMPUTED_VALUE"""),"T01")</f>
        <v>T01</v>
      </c>
      <c r="B48" s="27" t="str">
        <f>IFERROR(__xludf.DUMMYFUNCTION("""COMPUTED_VALUE"""),"Azt hittem érdemes")</f>
        <v>Azt hittem érdemes</v>
      </c>
      <c r="C48" s="27" t="str">
        <f>IFERROR(__xludf.DUMMYFUNCTION("""COMPUTED_VALUE"""),"(2/2)")</f>
        <v>(2/2)</v>
      </c>
      <c r="D48" s="28" t="str">
        <f>IFERROR(__xludf.DUMMYFUNCTION("""COMPUTED_VALUE"""),"https://www.youtube.com/watch?v=gV4j105Cztw")</f>
        <v>https://www.youtube.com/watch?v=gV4j105Cztw</v>
      </c>
      <c r="E48" s="27"/>
      <c r="F48" s="27"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c r="G48" s="27" t="str">
        <f>IFERROR(__xludf.DUMMYFUNCTION("""COMPUTED_VALUE"""),":)")</f>
        <v>:)</v>
      </c>
      <c r="H48" s="22">
        <f t="shared" ref="H48:I48" si="48">LEN(D48)</f>
        <v>43</v>
      </c>
      <c r="I48" s="22">
        <f t="shared" si="48"/>
        <v>0</v>
      </c>
      <c r="J48" s="12">
        <f t="shared" si="3"/>
        <v>1</v>
      </c>
      <c r="K48" s="12" t="str">
        <f>VLOOKUP(F48,Data!$A$2:$C$12,3,false)</f>
        <v>#N/A</v>
      </c>
      <c r="L48" s="12" t="str">
        <f>IF(G48,Data!$G$4,Data!$G$5)</f>
        <v>#VALUE!</v>
      </c>
      <c r="M48" s="22" t="str">
        <f>VLOOKUP(F48,Data!$A$2:$E$12,4,false)</f>
        <v>#N/A</v>
      </c>
      <c r="N48" s="22" t="str">
        <f>VLOOKUP(F48,Data!$A$2:$E$12,5,false)</f>
        <v>#N/A</v>
      </c>
    </row>
    <row r="49" ht="15.75" customHeight="1">
      <c r="A49" s="27" t="str">
        <f>IFERROR(__xludf.DUMMYFUNCTION("""COMPUTED_VALUE"""),"T02")</f>
        <v>T02</v>
      </c>
      <c r="B49" s="27" t="str">
        <f>IFERROR(__xludf.DUMMYFUNCTION("""COMPUTED_VALUE"""),"8 óra munka")</f>
        <v>8 óra munka</v>
      </c>
      <c r="C49" s="27"/>
      <c r="D49" s="28" t="str">
        <f>IFERROR(__xludf.DUMMYFUNCTION("""COMPUTED_VALUE"""),"https://www.youtube.com/watch?v=b5TEg3WO7_Q")</f>
        <v>https://www.youtube.com/watch?v=b5TEg3WO7_Q</v>
      </c>
      <c r="E49" s="27"/>
      <c r="F49" s="27"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49" s="27" t="str">
        <f>IFERROR(__xludf.DUMMYFUNCTION("""COMPUTED_VALUE"""),":)")</f>
        <v>:)</v>
      </c>
      <c r="H49" s="22">
        <f t="shared" ref="H49:I49" si="49">LEN(D49)</f>
        <v>43</v>
      </c>
      <c r="I49" s="22">
        <f t="shared" si="49"/>
        <v>0</v>
      </c>
      <c r="J49" s="12">
        <f t="shared" si="3"/>
        <v>1</v>
      </c>
      <c r="K49" s="12" t="str">
        <f>VLOOKUP(F49,Data!$A$2:$C$12,3,false)</f>
        <v>#N/A</v>
      </c>
      <c r="L49" s="12" t="str">
        <f>IF(G49,Data!$G$4,Data!$G$5)</f>
        <v>#VALUE!</v>
      </c>
      <c r="M49" s="22" t="str">
        <f>VLOOKUP(F49,Data!$A$2:$E$12,4,false)</f>
        <v>#N/A</v>
      </c>
      <c r="N49" s="22" t="str">
        <f>VLOOKUP(F49,Data!$A$2:$E$12,5,false)</f>
        <v>#N/A</v>
      </c>
    </row>
    <row r="50" ht="15.75" hidden="1" customHeight="1">
      <c r="A50" s="27" t="str">
        <f>IFERROR(__xludf.DUMMYFUNCTION("""COMPUTED_VALUE"""),"T02")</f>
        <v>T02</v>
      </c>
      <c r="B50" s="27" t="str">
        <f>IFERROR(__xludf.DUMMYFUNCTION("""COMPUTED_VALUE"""),"8 óra munka")</f>
        <v>8 óra munka</v>
      </c>
      <c r="C50" s="27"/>
      <c r="D50" s="28" t="str">
        <f>IFERROR(__xludf.DUMMYFUNCTION("""COMPUTED_VALUE"""),"https://www.youtube.com/watch?v=b5TEg3WO7_Q")</f>
        <v>https://www.youtube.com/watch?v=b5TEg3WO7_Q</v>
      </c>
      <c r="E50" s="27"/>
      <c r="F50" s="27"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50" s="27" t="str">
        <f>IFERROR(__xludf.DUMMYFUNCTION("""COMPUTED_VALUE"""),":)")</f>
        <v>:)</v>
      </c>
      <c r="H50" s="22">
        <f t="shared" ref="H50:I50" si="50">LEN(D50)</f>
        <v>43</v>
      </c>
      <c r="I50" s="22">
        <f t="shared" si="50"/>
        <v>0</v>
      </c>
      <c r="J50" s="12">
        <f t="shared" si="3"/>
        <v>1</v>
      </c>
      <c r="K50" s="12" t="str">
        <f>VLOOKUP(F50,Data!$A$2:$C$12,3,false)</f>
        <v>#N/A</v>
      </c>
      <c r="L50" s="12" t="str">
        <f>IF(G50,Data!$G$4,Data!$G$5)</f>
        <v>#VALUE!</v>
      </c>
      <c r="M50" s="22" t="str">
        <f>VLOOKUP(F50,Data!$A$2:$E$12,4,false)</f>
        <v>#N/A</v>
      </c>
      <c r="N50" s="22" t="str">
        <f>VLOOKUP(F50,Data!$A$2:$E$12,5,false)</f>
        <v>#N/A</v>
      </c>
    </row>
    <row r="51" ht="15.75" customHeight="1">
      <c r="A51" s="27" t="str">
        <f>IFERROR(__xludf.DUMMYFUNCTION("""COMPUTED_VALUE"""),"T03")</f>
        <v>T03</v>
      </c>
      <c r="B51" s="27" t="str">
        <f>IFERROR(__xludf.DUMMYFUNCTION("""COMPUTED_VALUE"""),"Adj helyet magad mellett")</f>
        <v>Adj helyet magad mellett</v>
      </c>
      <c r="C51" s="27" t="str">
        <f>IFERROR(__xludf.DUMMYFUNCTION("""COMPUTED_VALUE"""),"(1/2)")</f>
        <v>(1/2)</v>
      </c>
      <c r="D51" s="28" t="str">
        <f>IFERROR(__xludf.DUMMYFUNCTION("""COMPUTED_VALUE"""),"https://www.youtube.com/watch?v=2gb3jC67Ss8")</f>
        <v>https://www.youtube.com/watch?v=2gb3jC67Ss8</v>
      </c>
      <c r="E51" s="28" t="str">
        <f>IFERROR(__xludf.DUMMYFUNCTION("""COMPUTED_VALUE"""),"https://www.youtube.com/watch?v=jkKYQ3yZ4us")</f>
        <v>https://www.youtube.com/watch?v=jkKYQ3yZ4us</v>
      </c>
      <c r="F51" s="27"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v>
      </c>
      <c r="G51" s="27" t="str">
        <f>IFERROR(__xludf.DUMMYFUNCTION("""COMPUTED_VALUE"""),":)")</f>
        <v>:)</v>
      </c>
      <c r="H51" s="22">
        <f t="shared" ref="H51:I51" si="51">LEN(D51)</f>
        <v>43</v>
      </c>
      <c r="I51" s="22">
        <f t="shared" si="51"/>
        <v>43</v>
      </c>
      <c r="J51" s="12">
        <f t="shared" si="3"/>
        <v>1</v>
      </c>
      <c r="K51" s="12" t="str">
        <f>VLOOKUP(F51,Data!$A$2:$C$12,3,false)</f>
        <v>#N/A</v>
      </c>
      <c r="L51" s="12" t="str">
        <f>IF(G51,Data!$G$4,Data!$G$5)</f>
        <v>#VALUE!</v>
      </c>
      <c r="M51" s="22" t="str">
        <f>VLOOKUP(F51,Data!$A$2:$E$12,4,false)</f>
        <v>#N/A</v>
      </c>
      <c r="N51" s="22" t="str">
        <f>VLOOKUP(F51,Data!$A$2:$E$12,5,false)</f>
        <v>#N/A</v>
      </c>
    </row>
    <row r="52" ht="15.75" hidden="1" customHeight="1">
      <c r="A52" s="27" t="str">
        <f>IFERROR(__xludf.DUMMYFUNCTION("""COMPUTED_VALUE"""),"T03")</f>
        <v>T03</v>
      </c>
      <c r="B52" s="27" t="str">
        <f>IFERROR(__xludf.DUMMYFUNCTION("""COMPUTED_VALUE"""),"Adj helyet magad mellett")</f>
        <v>Adj helyet magad mellett</v>
      </c>
      <c r="C52" s="27" t="str">
        <f>IFERROR(__xludf.DUMMYFUNCTION("""COMPUTED_VALUE"""),"(2/2)")</f>
        <v>(2/2)</v>
      </c>
      <c r="D52" s="28" t="str">
        <f>IFERROR(__xludf.DUMMYFUNCTION("""COMPUTED_VALUE"""),"https://www.youtube.com/watch?v=2gb3jC67Ss8")</f>
        <v>https://www.youtube.com/watch?v=2gb3jC67Ss8</v>
      </c>
      <c r="E52" s="28" t="str">
        <f>IFERROR(__xludf.DUMMYFUNCTION("""COMPUTED_VALUE"""),"https://www.youtube.com/watch?v=jkKYQ3yZ4us")</f>
        <v>https://www.youtube.com/watch?v=jkKYQ3yZ4us</v>
      </c>
      <c r="F52" s="27" t="str">
        <f>IFERROR(__xludf.DUMMYFUNCTION("""COMPUTED_VALUE"""),"C                    G
Mint kínomban a színpadon,
      E7                   Am
Fejem a lábam közt, ülök a nyakamon
C               G
Homokkal teli a szám
         E7            Am
Szép vagyok, mosolygok rám
Am D  Dm Am
C  G  E7 Am
Am                 "&amp;" D
Adj helyet magad mellett
 Dm                     Am
Az ablakhoz én is odaférjek
 C                       G
Meztelen válladhoz érjen a vállam
E7                Am
Engedd, hogy megkívánjam
C               G
Engedd, hogy érezzem,
       E7            Am"&amp;"
Hogy szabadabban lélegzem
      C                 G
És ha éhes vagyok és fáradt
      E7                Am
Magamfajta többet mit kívánhat")</f>
        <v>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c r="G52" s="27" t="str">
        <f>IFERROR(__xludf.DUMMYFUNCTION("""COMPUTED_VALUE"""),":)")</f>
        <v>:)</v>
      </c>
      <c r="H52" s="22">
        <f t="shared" ref="H52:I52" si="52">LEN(D52)</f>
        <v>43</v>
      </c>
      <c r="I52" s="22">
        <f t="shared" si="52"/>
        <v>43</v>
      </c>
      <c r="J52" s="12">
        <f t="shared" si="3"/>
        <v>1</v>
      </c>
      <c r="K52" s="12" t="str">
        <f>VLOOKUP(F52,Data!$A$2:$C$12,3,false)</f>
        <v>#N/A</v>
      </c>
      <c r="L52" s="12" t="str">
        <f>IF(G52,Data!$G$4,Data!$G$5)</f>
        <v>#VALUE!</v>
      </c>
      <c r="M52" s="22" t="str">
        <f>VLOOKUP(F52,Data!$A$2:$E$12,4,false)</f>
        <v>#N/A</v>
      </c>
      <c r="N52" s="22" t="str">
        <f>VLOOKUP(F52,Data!$A$2:$E$12,5,false)</f>
        <v>#N/A</v>
      </c>
    </row>
    <row r="53" ht="15.75" hidden="1" customHeight="1">
      <c r="A53" s="27" t="str">
        <f>IFERROR(__xludf.DUMMYFUNCTION("""COMPUTED_VALUE"""),"T04")</f>
        <v>T04</v>
      </c>
      <c r="B53" s="27" t="str">
        <f>IFERROR(__xludf.DUMMYFUNCTION("""COMPUTED_VALUE"""),"Közeli helyeken ")</f>
        <v>Közeli helyeken </v>
      </c>
      <c r="C53" s="27"/>
      <c r="D53" s="28" t="str">
        <f>IFERROR(__xludf.DUMMYFUNCTION("""COMPUTED_VALUE"""),"https://www.youtube.com/watch?v=uZ8y1Dst8Is")</f>
        <v>https://www.youtube.com/watch?v=uZ8y1Dst8Is</v>
      </c>
      <c r="E53" s="28" t="str">
        <f>IFERROR(__xludf.DUMMYFUNCTION("""COMPUTED_VALUE"""),"https://www.youtube.com/watch?v=ZQaMSGPvXaQ")</f>
        <v>https://www.youtube.com/watch?v=ZQaMSGPvXaQ</v>
      </c>
      <c r="F53" s="27"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c r="G53" s="27" t="str">
        <f>IFERROR(__xludf.DUMMYFUNCTION("""COMPUTED_VALUE"""),":)")</f>
        <v>:)</v>
      </c>
      <c r="H53" s="22">
        <f t="shared" ref="H53:I53" si="53">LEN(D53)</f>
        <v>43</v>
      </c>
      <c r="I53" s="22">
        <f t="shared" si="53"/>
        <v>43</v>
      </c>
      <c r="J53" s="12">
        <f t="shared" si="3"/>
        <v>1</v>
      </c>
      <c r="K53" s="12" t="str">
        <f>VLOOKUP(F53,Data!$A$2:$C$12,3,false)</f>
        <v>#N/A</v>
      </c>
      <c r="L53" s="12" t="str">
        <f>IF(G53,Data!$G$4,Data!$G$5)</f>
        <v>#VALUE!</v>
      </c>
      <c r="M53" s="22" t="str">
        <f>VLOOKUP(F53,Data!$A$2:$E$12,4,false)</f>
        <v>#N/A</v>
      </c>
      <c r="N53" s="22" t="str">
        <f>VLOOKUP(F53,Data!$A$2:$E$12,5,false)</f>
        <v>#N/A</v>
      </c>
    </row>
    <row r="54" ht="15.75" customHeight="1">
      <c r="A54" s="27" t="str">
        <f>IFERROR(__xludf.DUMMYFUNCTION("""COMPUTED_VALUE"""),"T05")</f>
        <v>T05</v>
      </c>
      <c r="B54" s="27" t="str">
        <f>IFERROR(__xludf.DUMMYFUNCTION("""COMPUTED_VALUE"""),"Csavargódal")</f>
        <v>Csavargódal</v>
      </c>
      <c r="C54" s="27"/>
      <c r="D54" s="28" t="str">
        <f>IFERROR(__xludf.DUMMYFUNCTION("""COMPUTED_VALUE"""),"https://www.youtube.com/watch?v=pgEPBpcRx0Y")</f>
        <v>https://www.youtube.com/watch?v=pgEPBpcRx0Y</v>
      </c>
      <c r="E54" s="28" t="str">
        <f>IFERROR(__xludf.DUMMYFUNCTION("""COMPUTED_VALUE"""),"https://www.youtube.com/watch?v=cnilNaXlmoM")</f>
        <v>https://www.youtube.com/watch?v=cnilNaXlmoM</v>
      </c>
      <c r="F54" s="27"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c r="G54" s="27" t="str">
        <f>IFERROR(__xludf.DUMMYFUNCTION("""COMPUTED_VALUE"""),":)")</f>
        <v>:)</v>
      </c>
      <c r="H54" s="22">
        <f t="shared" ref="H54:I54" si="54">LEN(D54)</f>
        <v>43</v>
      </c>
      <c r="I54" s="22">
        <f t="shared" si="54"/>
        <v>43</v>
      </c>
      <c r="J54" s="12">
        <f t="shared" si="3"/>
        <v>1</v>
      </c>
      <c r="K54" s="12" t="str">
        <f>VLOOKUP(F54,Data!$A$2:$C$12,3,false)</f>
        <v>#N/A</v>
      </c>
      <c r="L54" s="12" t="str">
        <f>IF(G54,Data!$G$4,Data!$G$5)</f>
        <v>#VALUE!</v>
      </c>
      <c r="M54" s="22" t="str">
        <f>VLOOKUP(F54,Data!$A$2:$E$12,4,false)</f>
        <v>#N/A</v>
      </c>
      <c r="N54" s="22" t="str">
        <f>VLOOKUP(F54,Data!$A$2:$E$12,5,false)</f>
        <v>#N/A</v>
      </c>
    </row>
    <row r="55" ht="15.75" customHeight="1">
      <c r="A55" s="27" t="str">
        <f>IFERROR(__xludf.DUMMYFUNCTION("""COMPUTED_VALUE"""),"T06")</f>
        <v>T06</v>
      </c>
      <c r="B55" s="27" t="str">
        <f>IFERROR(__xludf.DUMMYFUNCTION("""COMPUTED_VALUE"""),"Vigyázz magadra fiam")</f>
        <v>Vigyázz magadra fiam</v>
      </c>
      <c r="C55" s="27"/>
      <c r="D55" s="28" t="str">
        <f>IFERROR(__xludf.DUMMYFUNCTION("""COMPUTED_VALUE"""),"https://www.youtube.com/watch?v=WbKQn5wy3RI")</f>
        <v>https://www.youtube.com/watch?v=WbKQn5wy3RI</v>
      </c>
      <c r="E55" s="28" t="str">
        <f>IFERROR(__xludf.DUMMYFUNCTION("""COMPUTED_VALUE"""),"https://www.youtube.com/watch?v=cLZs2oC3MBE")</f>
        <v>https://www.youtube.com/watch?v=cLZs2oC3MBE</v>
      </c>
      <c r="F55" s="27"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c r="G55" s="27" t="str">
        <f>IFERROR(__xludf.DUMMYFUNCTION("""COMPUTED_VALUE"""),":)")</f>
        <v>:)</v>
      </c>
      <c r="H55" s="22">
        <f t="shared" ref="H55:I55" si="55">LEN(D55)</f>
        <v>43</v>
      </c>
      <c r="I55" s="22">
        <f t="shared" si="55"/>
        <v>43</v>
      </c>
      <c r="J55" s="12">
        <f t="shared" si="3"/>
        <v>1</v>
      </c>
      <c r="K55" s="12" t="str">
        <f>VLOOKUP(F55,Data!$A$2:$C$12,3,false)</f>
        <v>#N/A</v>
      </c>
      <c r="L55" s="12" t="str">
        <f>IF(G55,Data!$G$4,Data!$G$5)</f>
        <v>#VALUE!</v>
      </c>
      <c r="M55" s="22" t="str">
        <f>VLOOKUP(F55,Data!$A$2:$E$12,4,false)</f>
        <v>#N/A</v>
      </c>
      <c r="N55" s="22" t="str">
        <f>VLOOKUP(F55,Data!$A$2:$E$12,5,false)</f>
        <v>#N/A</v>
      </c>
    </row>
    <row r="56" ht="15.75" hidden="1" customHeight="1">
      <c r="A56" s="27" t="str">
        <f>IFERROR(__xludf.DUMMYFUNCTION("""COMPUTED_VALUE"""),"T07")</f>
        <v>T07</v>
      </c>
      <c r="B56" s="27" t="str">
        <f>IFERROR(__xludf.DUMMYFUNCTION("""COMPUTED_VALUE"""),"Ha én rózsa volnék")</f>
        <v>Ha én rózsa volnék</v>
      </c>
      <c r="C56" s="27"/>
      <c r="D56" s="28" t="str">
        <f>IFERROR(__xludf.DUMMYFUNCTION("""COMPUTED_VALUE"""),"https://www.youtube.com/watch?v=nAw9q5vLiak")</f>
        <v>https://www.youtube.com/watch?v=nAw9q5vLiak</v>
      </c>
      <c r="E56" s="27"/>
      <c r="F56" s="27"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c r="G56" s="27" t="str">
        <f>IFERROR(__xludf.DUMMYFUNCTION("""COMPUTED_VALUE"""),":)")</f>
        <v>:)</v>
      </c>
      <c r="H56" s="22">
        <f t="shared" ref="H56:I56" si="56">LEN(D56)</f>
        <v>43</v>
      </c>
      <c r="I56" s="22">
        <f t="shared" si="56"/>
        <v>0</v>
      </c>
      <c r="J56" s="12">
        <f t="shared" si="3"/>
        <v>1</v>
      </c>
      <c r="K56" s="12" t="str">
        <f>VLOOKUP(F56,Data!$A$2:$C$12,3,false)</f>
        <v>#N/A</v>
      </c>
      <c r="L56" s="12" t="str">
        <f>IF(G56,Data!$G$4,Data!$G$5)</f>
        <v>#VALUE!</v>
      </c>
      <c r="M56" s="22" t="str">
        <f>VLOOKUP(F56,Data!$A$2:$E$12,4,false)</f>
        <v>#N/A</v>
      </c>
      <c r="N56" s="22" t="str">
        <f>VLOOKUP(F56,Data!$A$2:$E$12,5,false)</f>
        <v>#N/A</v>
      </c>
    </row>
    <row r="57" ht="15.75" customHeight="1">
      <c r="A57" s="27" t="str">
        <f>IFERROR(__xludf.DUMMYFUNCTION("""COMPUTED_VALUE"""),"T08")</f>
        <v>T08</v>
      </c>
      <c r="B57" s="27" t="str">
        <f>IFERROR(__xludf.DUMMYFUNCTION("""COMPUTED_VALUE"""),"Mit tehetnék érted ")</f>
        <v>Mit tehetnék érted </v>
      </c>
      <c r="C57" s="27"/>
      <c r="D57" s="28" t="str">
        <f>IFERROR(__xludf.DUMMYFUNCTION("""COMPUTED_VALUE"""),"https://www.youtube.com/watch?v=KkdWzfgclLk")</f>
        <v>https://www.youtube.com/watch?v=KkdWzfgclLk</v>
      </c>
      <c r="E57" s="28" t="str">
        <f>IFERROR(__xludf.DUMMYFUNCTION("""COMPUTED_VALUE"""),"https://www.youtube.com/watch?v=a9MUphJg09E")</f>
        <v>https://www.youtube.com/watch?v=a9MUphJg09E</v>
      </c>
      <c r="F57" s="27"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c r="G57" s="27" t="str">
        <f>IFERROR(__xludf.DUMMYFUNCTION("""COMPUTED_VALUE"""),":)")</f>
        <v>:)</v>
      </c>
      <c r="H57" s="22">
        <f t="shared" ref="H57:I57" si="57">LEN(D57)</f>
        <v>43</v>
      </c>
      <c r="I57" s="22">
        <f t="shared" si="57"/>
        <v>43</v>
      </c>
      <c r="J57" s="12">
        <f t="shared" si="3"/>
        <v>1</v>
      </c>
      <c r="K57" s="12" t="str">
        <f>VLOOKUP(F57,Data!$A$2:$C$12,3,false)</f>
        <v>#N/A</v>
      </c>
      <c r="L57" s="12" t="str">
        <f>IF(G57,Data!$G$4,Data!$G$5)</f>
        <v>#VALUE!</v>
      </c>
      <c r="M57" s="22" t="str">
        <f>VLOOKUP(F57,Data!$A$2:$E$12,4,false)</f>
        <v>#N/A</v>
      </c>
      <c r="N57" s="22" t="str">
        <f>VLOOKUP(F57,Data!$A$2:$E$12,5,false)</f>
        <v>#N/A</v>
      </c>
    </row>
    <row r="58" ht="15.75" hidden="1" customHeight="1">
      <c r="A58" s="27" t="str">
        <f>IFERROR(__xludf.DUMMYFUNCTION("""COMPUTED_VALUE"""),"T09")</f>
        <v>T09</v>
      </c>
      <c r="B58" s="27" t="str">
        <f>IFERROR(__xludf.DUMMYFUNCTION("""COMPUTED_VALUE"""),"Szilvafácska")</f>
        <v>Szilvafácska</v>
      </c>
      <c r="C58" s="27"/>
      <c r="D58" s="28" t="str">
        <f>IFERROR(__xludf.DUMMYFUNCTION("""COMPUTED_VALUE"""),"https://www.youtube.com/watch?v=DKXfvfZ8oFM")</f>
        <v>https://www.youtube.com/watch?v=DKXfvfZ8oFM</v>
      </c>
      <c r="E58" s="28" t="str">
        <f>IFERROR(__xludf.DUMMYFUNCTION("""COMPUTED_VALUE"""),"https://www.youtube.com/watch?v=_Ojd8CMGvKI")</f>
        <v>https://www.youtube.com/watch?v=_Ojd8CMGvKI</v>
      </c>
      <c r="F58" s="27"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c r="G58" s="27" t="str">
        <f>IFERROR(__xludf.DUMMYFUNCTION("""COMPUTED_VALUE"""),":)")</f>
        <v>:)</v>
      </c>
      <c r="H58" s="22">
        <f t="shared" ref="H58:I58" si="58">LEN(D58)</f>
        <v>43</v>
      </c>
      <c r="I58" s="22">
        <f t="shared" si="58"/>
        <v>43</v>
      </c>
      <c r="J58" s="12">
        <f t="shared" si="3"/>
        <v>1</v>
      </c>
      <c r="K58" s="12" t="str">
        <f>VLOOKUP(F58,Data!$A$2:$C$12,3,false)</f>
        <v>#N/A</v>
      </c>
      <c r="L58" s="12" t="str">
        <f>IF(G58,Data!$G$4,Data!$G$5)</f>
        <v>#VALUE!</v>
      </c>
      <c r="M58" s="22" t="str">
        <f>VLOOKUP(F58,Data!$A$2:$E$12,4,false)</f>
        <v>#N/A</v>
      </c>
      <c r="N58" s="22" t="str">
        <f>VLOOKUP(F58,Data!$A$2:$E$12,5,false)</f>
        <v>#N/A</v>
      </c>
    </row>
    <row r="59" ht="15.75" hidden="1" customHeight="1">
      <c r="A59" s="27" t="str">
        <f>IFERROR(__xludf.DUMMYFUNCTION("""COMPUTED_VALUE"""),"T10")</f>
        <v>T10</v>
      </c>
      <c r="B59" s="27" t="str">
        <f>IFERROR(__xludf.DUMMYFUNCTION("""COMPUTED_VALUE"""),"Az légy aki vagy")</f>
        <v>Az légy aki vagy</v>
      </c>
      <c r="C59" s="27"/>
      <c r="D59" s="28" t="str">
        <f>IFERROR(__xludf.DUMMYFUNCTION("""COMPUTED_VALUE"""),"https://www.youtube.com/watch?v=XQ49bXzQQBQ")</f>
        <v>https://www.youtube.com/watch?v=XQ49bXzQQBQ</v>
      </c>
      <c r="E59" s="28" t="str">
        <f>IFERROR(__xludf.DUMMYFUNCTION("""COMPUTED_VALUE"""),"https://www.youtube.com/watch?v=tvUtYu8Osmc")</f>
        <v>https://www.youtube.com/watch?v=tvUtYu8Osmc</v>
      </c>
      <c r="F59" s="27"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c r="G59" s="27" t="str">
        <f>IFERROR(__xludf.DUMMYFUNCTION("""COMPUTED_VALUE"""),":)")</f>
        <v>:)</v>
      </c>
      <c r="H59" s="22">
        <f t="shared" ref="H59:I59" si="59">LEN(D59)</f>
        <v>43</v>
      </c>
      <c r="I59" s="22">
        <f t="shared" si="59"/>
        <v>43</v>
      </c>
      <c r="J59" s="12">
        <f t="shared" si="3"/>
        <v>1</v>
      </c>
      <c r="K59" s="12" t="str">
        <f>VLOOKUP(F59,Data!$A$2:$C$12,3,false)</f>
        <v>#N/A</v>
      </c>
      <c r="L59" s="12" t="str">
        <f>IF(G59,Data!$G$4,Data!$G$5)</f>
        <v>#VALUE!</v>
      </c>
      <c r="M59" s="22" t="str">
        <f>VLOOKUP(F59,Data!$A$2:$E$12,4,false)</f>
        <v>#N/A</v>
      </c>
      <c r="N59" s="22" t="str">
        <f>VLOOKUP(F59,Data!$A$2:$E$12,5,false)</f>
        <v>#N/A</v>
      </c>
    </row>
    <row r="60" ht="15.75" hidden="1" customHeight="1">
      <c r="A60" s="27" t="str">
        <f>IFERROR(__xludf.DUMMYFUNCTION("""COMPUTED_VALUE"""),"T11")</f>
        <v>T11</v>
      </c>
      <c r="B60" s="27" t="str">
        <f>IFERROR(__xludf.DUMMYFUNCTION("""COMPUTED_VALUE"""),"Jég dupla whiskyvel")</f>
        <v>Jég dupla whiskyvel</v>
      </c>
      <c r="C60" s="27"/>
      <c r="D60" s="28" t="str">
        <f>IFERROR(__xludf.DUMMYFUNCTION("""COMPUTED_VALUE"""),"https://www.youtube.com/watch?v=oUM5uS4_4zI")</f>
        <v>https://www.youtube.com/watch?v=oUM5uS4_4zI</v>
      </c>
      <c r="E60" s="28" t="str">
        <f>IFERROR(__xludf.DUMMYFUNCTION("""COMPUTED_VALUE"""),"https://www.youtube.com/watch?v=2h2PMTP3duY")</f>
        <v>https://www.youtube.com/watch?v=2h2PMTP3duY</v>
      </c>
      <c r="F60" s="27"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c r="G60" s="27" t="str">
        <f>IFERROR(__xludf.DUMMYFUNCTION("""COMPUTED_VALUE"""),":)")</f>
        <v>:)</v>
      </c>
      <c r="H60" s="22">
        <f t="shared" ref="H60:I60" si="60">LEN(D60)</f>
        <v>43</v>
      </c>
      <c r="I60" s="22">
        <f t="shared" si="60"/>
        <v>43</v>
      </c>
      <c r="J60" s="12">
        <f t="shared" si="3"/>
        <v>1</v>
      </c>
      <c r="K60" s="12" t="str">
        <f>VLOOKUP(F60,Data!$A$2:$C$12,3,false)</f>
        <v>#N/A</v>
      </c>
      <c r="L60" s="12" t="str">
        <f>IF(G60,Data!$G$4,Data!$G$5)</f>
        <v>#VALUE!</v>
      </c>
      <c r="M60" s="22" t="str">
        <f>VLOOKUP(F60,Data!$A$2:$E$12,4,false)</f>
        <v>#N/A</v>
      </c>
      <c r="N60" s="22" t="str">
        <f>VLOOKUP(F60,Data!$A$2:$E$12,5,false)</f>
        <v>#N/A</v>
      </c>
    </row>
    <row r="61" ht="15.75" customHeight="1">
      <c r="A61" s="27" t="str">
        <f>IFERROR(__xludf.DUMMYFUNCTION("""COMPUTED_VALUE"""),"T12")</f>
        <v>T12</v>
      </c>
      <c r="B61" s="27" t="str">
        <f>IFERROR(__xludf.DUMMYFUNCTION("""COMPUTED_VALUE"""),"Budapest")</f>
        <v>Budapest</v>
      </c>
      <c r="C61" s="27" t="str">
        <f>IFERROR(__xludf.DUMMYFUNCTION("""COMPUTED_VALUE"""),"(1/2)")</f>
        <v>(1/2)</v>
      </c>
      <c r="D61" s="28" t="str">
        <f>IFERROR(__xludf.DUMMYFUNCTION("""COMPUTED_VALUE"""),"https://www.youtube.com/watch?v=LYBw6XTcww4")</f>
        <v>https://www.youtube.com/watch?v=LYBw6XTcww4</v>
      </c>
      <c r="E61" s="28" t="str">
        <f>IFERROR(__xludf.DUMMYFUNCTION("""COMPUTED_VALUE"""),"https://www.youtube.com/watch?v=3yoUXLHRtf0")</f>
        <v>https://www.youtube.com/watch?v=3yoUXLHRtf0</v>
      </c>
      <c r="F61" s="27"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c r="G61" s="27" t="str">
        <f>IFERROR(__xludf.DUMMYFUNCTION("""COMPUTED_VALUE"""),":)")</f>
        <v>:)</v>
      </c>
      <c r="H61" s="22">
        <f t="shared" ref="H61:I61" si="61">LEN(D61)</f>
        <v>43</v>
      </c>
      <c r="I61" s="22">
        <f t="shared" si="61"/>
        <v>43</v>
      </c>
      <c r="J61" s="12">
        <f t="shared" si="3"/>
        <v>1</v>
      </c>
      <c r="K61" s="12" t="str">
        <f>VLOOKUP(F61,Data!$A$2:$C$12,3,false)</f>
        <v>#N/A</v>
      </c>
      <c r="L61" s="12" t="str">
        <f>IF(G61,Data!$G$4,Data!$G$5)</f>
        <v>#VALUE!</v>
      </c>
      <c r="M61" s="22" t="str">
        <f>VLOOKUP(F61,Data!$A$2:$E$12,4,false)</f>
        <v>#N/A</v>
      </c>
      <c r="N61" s="22" t="str">
        <f>VLOOKUP(F61,Data!$A$2:$E$12,5,false)</f>
        <v>#N/A</v>
      </c>
    </row>
    <row r="62" ht="15.75" hidden="1" customHeight="1">
      <c r="A62" s="27" t="str">
        <f>IFERROR(__xludf.DUMMYFUNCTION("""COMPUTED_VALUE"""),"T12")</f>
        <v>T12</v>
      </c>
      <c r="B62" s="27" t="str">
        <f>IFERROR(__xludf.DUMMYFUNCTION("""COMPUTED_VALUE"""),"Budapest")</f>
        <v>Budapest</v>
      </c>
      <c r="C62" s="27" t="str">
        <f>IFERROR(__xludf.DUMMYFUNCTION("""COMPUTED_VALUE"""),"(2/2)")</f>
        <v>(2/2)</v>
      </c>
      <c r="D62" s="28" t="str">
        <f>IFERROR(__xludf.DUMMYFUNCTION("""COMPUTED_VALUE"""),"https://www.youtube.com/watch?v=LYBw6XTcww4")</f>
        <v>https://www.youtube.com/watch?v=LYBw6XTcww4</v>
      </c>
      <c r="E62" s="28" t="str">
        <f>IFERROR(__xludf.DUMMYFUNCTION("""COMPUTED_VALUE"""),"https://www.youtube.com/watch?v=3yoUXLHRtf0")</f>
        <v>https://www.youtube.com/watch?v=3yoUXLHRtf0</v>
      </c>
      <c r="F62" s="27"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c r="G62" s="27" t="str">
        <f>IFERROR(__xludf.DUMMYFUNCTION("""COMPUTED_VALUE"""),":)")</f>
        <v>:)</v>
      </c>
      <c r="H62" s="22">
        <f t="shared" ref="H62:I62" si="62">LEN(D62)</f>
        <v>43</v>
      </c>
      <c r="I62" s="22">
        <f t="shared" si="62"/>
        <v>43</v>
      </c>
      <c r="J62" s="12">
        <f t="shared" si="3"/>
        <v>1</v>
      </c>
      <c r="K62" s="12" t="str">
        <f>VLOOKUP(F62,Data!$A$2:$C$12,3,false)</f>
        <v>#N/A</v>
      </c>
      <c r="L62" s="12" t="str">
        <f>IF(G62,Data!$G$4,Data!$G$5)</f>
        <v>#VALUE!</v>
      </c>
      <c r="M62" s="22" t="str">
        <f>VLOOKUP(F62,Data!$A$2:$E$12,4,false)</f>
        <v>#N/A</v>
      </c>
      <c r="N62" s="22" t="str">
        <f>VLOOKUP(F62,Data!$A$2:$E$12,5,false)</f>
        <v>#N/A</v>
      </c>
    </row>
    <row r="63" ht="15.75" hidden="1" customHeight="1">
      <c r="A63" s="27" t="str">
        <f>IFERROR(__xludf.DUMMYFUNCTION("""COMPUTED_VALUE"""),"T13")</f>
        <v>T13</v>
      </c>
      <c r="B63" s="27" t="str">
        <f>IFERROR(__xludf.DUMMYFUNCTION("""COMPUTED_VALUE"""),"Csönded vagyok")</f>
        <v>Csönded vagyok</v>
      </c>
      <c r="C63" s="27"/>
      <c r="D63" s="28" t="str">
        <f>IFERROR(__xludf.DUMMYFUNCTION("""COMPUTED_VALUE"""),"https://www.youtube.com/watch?v=RVXXgBecbB8")</f>
        <v>https://www.youtube.com/watch?v=RVXXgBecbB8</v>
      </c>
      <c r="E63" s="28" t="str">
        <f>IFERROR(__xludf.DUMMYFUNCTION("""COMPUTED_VALUE"""),"https://www.youtube.com/watch?v=RVXXgBecbB8")</f>
        <v>https://www.youtube.com/watch?v=RVXXgBecbB8</v>
      </c>
      <c r="F63" s="27"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c r="G63" s="27" t="str">
        <f>IFERROR(__xludf.DUMMYFUNCTION("""COMPUTED_VALUE"""),":)")</f>
        <v>:)</v>
      </c>
      <c r="H63" s="22">
        <f t="shared" ref="H63:I63" si="63">LEN(D63)</f>
        <v>43</v>
      </c>
      <c r="I63" s="22">
        <f t="shared" si="63"/>
        <v>43</v>
      </c>
      <c r="J63" s="12">
        <f t="shared" si="3"/>
        <v>1</v>
      </c>
      <c r="K63" s="12" t="str">
        <f>VLOOKUP(F63,Data!$A$2:$C$12,3,false)</f>
        <v>#N/A</v>
      </c>
      <c r="L63" s="12" t="str">
        <f>IF(G63,Data!$G$4,Data!$G$5)</f>
        <v>#VALUE!</v>
      </c>
      <c r="M63" s="22" t="str">
        <f>VLOOKUP(F63,Data!$A$2:$E$12,4,false)</f>
        <v>#N/A</v>
      </c>
      <c r="N63" s="22" t="str">
        <f>VLOOKUP(F63,Data!$A$2:$E$12,5,false)</f>
        <v>#N/A</v>
      </c>
    </row>
    <row r="64" ht="15.75" hidden="1" customHeight="1">
      <c r="A64" s="27" t="str">
        <f>IFERROR(__xludf.DUMMYFUNCTION("""COMPUTED_VALUE"""),"T14")</f>
        <v>T14</v>
      </c>
      <c r="B64" s="27" t="str">
        <f>IFERROR(__xludf.DUMMYFUNCTION("""COMPUTED_VALUE"""),"Én vagyok az aki nem jó ")</f>
        <v>Én vagyok az aki nem jó </v>
      </c>
      <c r="C64" s="27"/>
      <c r="D64" s="28" t="str">
        <f>IFERROR(__xludf.DUMMYFUNCTION("""COMPUTED_VALUE"""),"https://www.youtube.com/watch?v=-DHitqhvTak")</f>
        <v>https://www.youtube.com/watch?v=-DHitqhvTak</v>
      </c>
      <c r="E64" s="28" t="str">
        <f>IFERROR(__xludf.DUMMYFUNCTION("""COMPUTED_VALUE"""),"https://www.youtube.com/watch?v=iAY8QPDe-_4")</f>
        <v>https://www.youtube.com/watch?v=iAY8QPDe-_4</v>
      </c>
      <c r="F64" s="27"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c r="G64" s="27" t="str">
        <f>IFERROR(__xludf.DUMMYFUNCTION("""COMPUTED_VALUE"""),":)")</f>
        <v>:)</v>
      </c>
      <c r="H64" s="22">
        <f t="shared" ref="H64:I64" si="64">LEN(D64)</f>
        <v>43</v>
      </c>
      <c r="I64" s="22">
        <f t="shared" si="64"/>
        <v>43</v>
      </c>
      <c r="J64" s="12">
        <f t="shared" si="3"/>
        <v>1</v>
      </c>
      <c r="K64" s="12" t="str">
        <f>VLOOKUP(F64,Data!$A$2:$C$12,3,false)</f>
        <v>#N/A</v>
      </c>
      <c r="L64" s="12" t="str">
        <f>IF(G64,Data!$G$4,Data!$G$5)</f>
        <v>#VALUE!</v>
      </c>
      <c r="M64" s="22" t="str">
        <f>VLOOKUP(F64,Data!$A$2:$E$12,4,false)</f>
        <v>#N/A</v>
      </c>
      <c r="N64" s="22" t="str">
        <f>VLOOKUP(F64,Data!$A$2:$E$12,5,false)</f>
        <v>#N/A</v>
      </c>
    </row>
    <row r="65" ht="15.75" hidden="1" customHeight="1">
      <c r="A65" s="27" t="str">
        <f>IFERROR(__xludf.DUMMYFUNCTION("""COMPUTED_VALUE"""),"T15")</f>
        <v>T15</v>
      </c>
      <c r="B65" s="27" t="str">
        <f>IFERROR(__xludf.DUMMYFUNCTION("""COMPUTED_VALUE"""),"Várj, míg felkel majd a nap ")</f>
        <v>Várj, míg felkel majd a nap </v>
      </c>
      <c r="C65" s="27"/>
      <c r="D65" s="28" t="str">
        <f>IFERROR(__xludf.DUMMYFUNCTION("""COMPUTED_VALUE"""),"https://www.youtube.com/watch?v=qPYGPdMkPTo")</f>
        <v>https://www.youtube.com/watch?v=qPYGPdMkPTo</v>
      </c>
      <c r="E65" s="28" t="str">
        <f>IFERROR(__xludf.DUMMYFUNCTION("""COMPUTED_VALUE"""),"https://www.youtube.com/watch?v=IuDWlITFIek")</f>
        <v>https://www.youtube.com/watch?v=IuDWlITFIek</v>
      </c>
      <c r="F65" s="27"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c r="G65" s="27" t="str">
        <f>IFERROR(__xludf.DUMMYFUNCTION("""COMPUTED_VALUE"""),":)")</f>
        <v>:)</v>
      </c>
      <c r="H65" s="22">
        <f t="shared" ref="H65:I65" si="65">LEN(D65)</f>
        <v>43</v>
      </c>
      <c r="I65" s="22">
        <f t="shared" si="65"/>
        <v>43</v>
      </c>
      <c r="J65" s="12">
        <f t="shared" si="3"/>
        <v>1</v>
      </c>
      <c r="K65" s="12" t="str">
        <f>VLOOKUP(F65,Data!$A$2:$C$12,3,false)</f>
        <v>#N/A</v>
      </c>
      <c r="L65" s="12" t="str">
        <f>IF(G65,Data!$G$4,Data!$G$5)</f>
        <v>#VALUE!</v>
      </c>
      <c r="M65" s="22" t="str">
        <f>VLOOKUP(F65,Data!$A$2:$E$12,4,false)</f>
        <v>#N/A</v>
      </c>
      <c r="N65" s="22" t="str">
        <f>VLOOKUP(F65,Data!$A$2:$E$12,5,false)</f>
        <v>#N/A</v>
      </c>
    </row>
    <row r="66" ht="15.75" customHeight="1">
      <c r="A66" s="27" t="str">
        <f>IFERROR(__xludf.DUMMYFUNCTION("""COMPUTED_VALUE"""),"T16")</f>
        <v>T16</v>
      </c>
      <c r="B66" s="27" t="str">
        <f>IFERROR(__xludf.DUMMYFUNCTION("""COMPUTED_VALUE"""),"Mi vagyunk a Grund")</f>
        <v>Mi vagyunk a Grund</v>
      </c>
      <c r="C66" s="27"/>
      <c r="D66" s="28" t="str">
        <f>IFERROR(__xludf.DUMMYFUNCTION("""COMPUTED_VALUE"""),"https://www.youtube.com/watch?v=BWqGIR2Ao1M")</f>
        <v>https://www.youtube.com/watch?v=BWqGIR2Ao1M</v>
      </c>
      <c r="E66" s="28" t="str">
        <f>IFERROR(__xludf.DUMMYFUNCTION("""COMPUTED_VALUE"""),"https://www.youtube.com/watch?v=BWqGIR2Ao1M")</f>
        <v>https://www.youtube.com/watch?v=BWqGIR2Ao1M</v>
      </c>
      <c r="F66" s="27"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c r="G66" s="27" t="str">
        <f>IFERROR(__xludf.DUMMYFUNCTION("""COMPUTED_VALUE"""),":)")</f>
        <v>:)</v>
      </c>
      <c r="H66" s="22">
        <f t="shared" ref="H66:I66" si="66">LEN(D66)</f>
        <v>43</v>
      </c>
      <c r="I66" s="22">
        <f t="shared" si="66"/>
        <v>43</v>
      </c>
      <c r="J66" s="12">
        <f t="shared" si="3"/>
        <v>1</v>
      </c>
      <c r="K66" s="12" t="str">
        <f>VLOOKUP(F66,Data!$A$2:$C$12,3,false)</f>
        <v>#N/A</v>
      </c>
      <c r="L66" s="12" t="str">
        <f>IF(G66,Data!$G$4,Data!$G$5)</f>
        <v>#VALUE!</v>
      </c>
      <c r="M66" s="22" t="str">
        <f>VLOOKUP(F66,Data!$A$2:$E$12,4,false)</f>
        <v>#N/A</v>
      </c>
      <c r="N66" s="22" t="str">
        <f>VLOOKUP(F66,Data!$A$2:$E$12,5,false)</f>
        <v>#N/A</v>
      </c>
    </row>
    <row r="67" ht="15.75" customHeight="1">
      <c r="A67" s="27" t="str">
        <f>IFERROR(__xludf.DUMMYFUNCTION("""COMPUTED_VALUE"""),"T17")</f>
        <v>T17</v>
      </c>
      <c r="B67" s="27" t="str">
        <f>IFERROR(__xludf.DUMMYFUNCTION("""COMPUTED_VALUE"""),"Hajnali ének")</f>
        <v>Hajnali ének</v>
      </c>
      <c r="C67" s="27"/>
      <c r="D67" s="28" t="str">
        <f>IFERROR(__xludf.DUMMYFUNCTION("""COMPUTED_VALUE"""),"https://www.youtube.com/watch?v=aX5_y3qSvoU")</f>
        <v>https://www.youtube.com/watch?v=aX5_y3qSvoU</v>
      </c>
      <c r="E67" s="28" t="str">
        <f>IFERROR(__xludf.DUMMYFUNCTION("""COMPUTED_VALUE"""),"https://www.youtube.com/watch?v=h7XPfmjgJFM")</f>
        <v>https://www.youtube.com/watch?v=h7XPfmjgJFM</v>
      </c>
      <c r="F67" s="27"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c r="G67" s="27" t="str">
        <f>IFERROR(__xludf.DUMMYFUNCTION("""COMPUTED_VALUE"""),":)")</f>
        <v>:)</v>
      </c>
      <c r="H67" s="22">
        <f t="shared" ref="H67:I67" si="67">LEN(D67)</f>
        <v>43</v>
      </c>
      <c r="I67" s="22">
        <f t="shared" si="67"/>
        <v>43</v>
      </c>
      <c r="J67" s="12">
        <f t="shared" si="3"/>
        <v>1</v>
      </c>
      <c r="K67" s="12" t="str">
        <f>VLOOKUP(F67,Data!$A$2:$C$12,3,false)</f>
        <v>#N/A</v>
      </c>
      <c r="L67" s="12" t="str">
        <f>IF(G67,Data!$G$4,Data!$G$5)</f>
        <v>#VALUE!</v>
      </c>
      <c r="M67" s="22" t="str">
        <f>VLOOKUP(F67,Data!$A$2:$E$12,4,false)</f>
        <v>#N/A</v>
      </c>
      <c r="N67" s="22" t="str">
        <f>VLOOKUP(F67,Data!$A$2:$E$12,5,false)</f>
        <v>#N/A</v>
      </c>
    </row>
    <row r="68" ht="15.75" hidden="1" customHeight="1">
      <c r="A68" s="27" t="str">
        <f>IFERROR(__xludf.DUMMYFUNCTION("""COMPUTED_VALUE"""),"T18")</f>
        <v>T18</v>
      </c>
      <c r="B68" s="27" t="str">
        <f>IFERROR(__xludf.DUMMYFUNCTION("""COMPUTED_VALUE"""),"Tábortűz")</f>
        <v>Tábortűz</v>
      </c>
      <c r="C68" s="27"/>
      <c r="D68" s="28" t="str">
        <f>IFERROR(__xludf.DUMMYFUNCTION("""COMPUTED_VALUE"""),"https://www.youtube.com/watch?v=QLNz8OiSL4Q")</f>
        <v>https://www.youtube.com/watch?v=QLNz8OiSL4Q</v>
      </c>
      <c r="E68" s="28" t="str">
        <f>IFERROR(__xludf.DUMMYFUNCTION("""COMPUTED_VALUE"""),"https://www.youtube.com/watch?v=QcFMbx_MWkU")</f>
        <v>https://www.youtube.com/watch?v=QcFMbx_MWkU</v>
      </c>
      <c r="F68" s="27"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c r="G68" s="27" t="str">
        <f>IFERROR(__xludf.DUMMYFUNCTION("""COMPUTED_VALUE"""),":)")</f>
        <v>:)</v>
      </c>
      <c r="H68" s="22">
        <f t="shared" ref="H68:I68" si="68">LEN(D68)</f>
        <v>43</v>
      </c>
      <c r="I68" s="22">
        <f t="shared" si="68"/>
        <v>43</v>
      </c>
      <c r="J68" s="12">
        <f t="shared" si="3"/>
        <v>1</v>
      </c>
      <c r="K68" s="12" t="str">
        <f>VLOOKUP(F68,Data!$A$2:$C$12,3,false)</f>
        <v>#N/A</v>
      </c>
      <c r="L68" s="12" t="str">
        <f>IF(G68,Data!$G$4,Data!$G$5)</f>
        <v>#VALUE!</v>
      </c>
      <c r="M68" s="22" t="str">
        <f>VLOOKUP(F68,Data!$A$2:$E$12,4,false)</f>
        <v>#N/A</v>
      </c>
      <c r="N68" s="22" t="str">
        <f>VLOOKUP(F68,Data!$A$2:$E$12,5,false)</f>
        <v>#N/A</v>
      </c>
    </row>
    <row r="69" ht="15.75" hidden="1" customHeight="1">
      <c r="A69" s="27" t="str">
        <f>IFERROR(__xludf.DUMMYFUNCTION("""COMPUTED_VALUE"""),"T19")</f>
        <v>T19</v>
      </c>
      <c r="B69" s="27" t="str">
        <f>IFERROR(__xludf.DUMMYFUNCTION("""COMPUTED_VALUE"""),"Van egy ország")</f>
        <v>Van egy ország</v>
      </c>
      <c r="C69" s="27" t="str">
        <f>IFERROR(__xludf.DUMMYFUNCTION("""COMPUTED_VALUE"""),"(1/2)")</f>
        <v>(1/2)</v>
      </c>
      <c r="D69" s="28" t="str">
        <f>IFERROR(__xludf.DUMMYFUNCTION("""COMPUTED_VALUE"""),"https://www.youtube.com/watch?v=XBUu_k_nGyw")</f>
        <v>https://www.youtube.com/watch?v=XBUu_k_nGyw</v>
      </c>
      <c r="E69" s="28" t="str">
        <f>IFERROR(__xludf.DUMMYFUNCTION("""COMPUTED_VALUE"""),"https://www.youtube.com/watch?v=V2bOblKkeU0")</f>
        <v>https://www.youtube.com/watch?v=V2bOblKkeU0</v>
      </c>
      <c r="F69" s="27"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v>
      </c>
      <c r="G69" s="27" t="str">
        <f>IFERROR(__xludf.DUMMYFUNCTION("""COMPUTED_VALUE"""),":)")</f>
        <v>:)</v>
      </c>
      <c r="H69" s="22">
        <f t="shared" ref="H69:I69" si="69">LEN(D69)</f>
        <v>43</v>
      </c>
      <c r="I69" s="22">
        <f t="shared" si="69"/>
        <v>43</v>
      </c>
      <c r="J69" s="12">
        <f t="shared" si="3"/>
        <v>1</v>
      </c>
      <c r="K69" s="12" t="str">
        <f>VLOOKUP(F69,Data!$A$2:$C$12,3,false)</f>
        <v>#N/A</v>
      </c>
      <c r="L69" s="12" t="str">
        <f>IF(G69,Data!$G$4,Data!$G$5)</f>
        <v>#VALUE!</v>
      </c>
      <c r="M69" s="22" t="str">
        <f>VLOOKUP(F69,Data!$A$2:$E$12,4,false)</f>
        <v>#N/A</v>
      </c>
      <c r="N69" s="22" t="str">
        <f>VLOOKUP(F69,Data!$A$2:$E$12,5,false)</f>
        <v>#N/A</v>
      </c>
    </row>
    <row r="70" ht="15.75" hidden="1" customHeight="1">
      <c r="A70" s="27" t="str">
        <f>IFERROR(__xludf.DUMMYFUNCTION("""COMPUTED_VALUE"""),"T19")</f>
        <v>T19</v>
      </c>
      <c r="B70" s="27" t="str">
        <f>IFERROR(__xludf.DUMMYFUNCTION("""COMPUTED_VALUE"""),"Van egy ország")</f>
        <v>Van egy ország</v>
      </c>
      <c r="C70" s="27" t="str">
        <f>IFERROR(__xludf.DUMMYFUNCTION("""COMPUTED_VALUE"""),"(2/2)")</f>
        <v>(2/2)</v>
      </c>
      <c r="D70" s="28" t="str">
        <f>IFERROR(__xludf.DUMMYFUNCTION("""COMPUTED_VALUE"""),"https://www.youtube.com/watch?v=XBUu_k_nGyw")</f>
        <v>https://www.youtube.com/watch?v=XBUu_k_nGyw</v>
      </c>
      <c r="E70" s="28" t="str">
        <f>IFERROR(__xludf.DUMMYFUNCTION("""COMPUTED_VALUE"""),"https://www.youtube.com/watch?v=V2bOblKkeU0")</f>
        <v>https://www.youtube.com/watch?v=V2bOblKkeU0</v>
      </c>
      <c r="F70" s="27"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70" s="27" t="str">
        <f>IFERROR(__xludf.DUMMYFUNCTION("""COMPUTED_VALUE"""),":)")</f>
        <v>:)</v>
      </c>
      <c r="H70" s="22">
        <f t="shared" ref="H70:I70" si="70">LEN(D70)</f>
        <v>43</v>
      </c>
      <c r="I70" s="22">
        <f t="shared" si="70"/>
        <v>43</v>
      </c>
      <c r="J70" s="12">
        <f t="shared" si="3"/>
        <v>1</v>
      </c>
      <c r="K70" s="12" t="str">
        <f>VLOOKUP(F70,Data!$A$2:$C$12,3,false)</f>
        <v>#N/A</v>
      </c>
      <c r="L70" s="12" t="str">
        <f>IF(G70,Data!$G$4,Data!$G$5)</f>
        <v>#VALUE!</v>
      </c>
      <c r="M70" s="22" t="str">
        <f>VLOOKUP(F70,Data!$A$2:$E$12,4,false)</f>
        <v>#N/A</v>
      </c>
      <c r="N70" s="22" t="str">
        <f>VLOOKUP(F70,Data!$A$2:$E$12,5,false)</f>
        <v>#N/A</v>
      </c>
    </row>
    <row r="71" ht="15.75" hidden="1" customHeight="1">
      <c r="A71" s="27" t="str">
        <f>IFERROR(__xludf.DUMMYFUNCTION("""COMPUTED_VALUE"""),"T20")</f>
        <v>T20</v>
      </c>
      <c r="B71" s="27" t="str">
        <f>IFERROR(__xludf.DUMMYFUNCTION("""COMPUTED_VALUE"""),"Teljesség felé")</f>
        <v>Teljesség felé</v>
      </c>
      <c r="C71" s="27" t="str">
        <f>IFERROR(__xludf.DUMMYFUNCTION("""COMPUTED_VALUE"""),"(1/2)")</f>
        <v>(1/2)</v>
      </c>
      <c r="D71" s="28" t="str">
        <f>IFERROR(__xludf.DUMMYFUNCTION("""COMPUTED_VALUE"""),"https://www.youtube.com/watch?v=W1ZJr-ZEqPc")</f>
        <v>https://www.youtube.com/watch?v=W1ZJr-ZEqPc</v>
      </c>
      <c r="E71" s="28" t="str">
        <f>IFERROR(__xludf.DUMMYFUNCTION("""COMPUTED_VALUE"""),"https://www.youtube.com/watch?v=W1ZJr-ZEqPc")</f>
        <v>https://www.youtube.com/watch?v=W1ZJr-ZEqPc</v>
      </c>
      <c r="F71" s="27"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j"&amp;"árok és próbálok leszokni mindenről 
  D                  A                Bm                G
a falnak támaszkodva szívom az utolsó slukkot az utolsó cigimből, 
        D           A               Bm         G
mielőtt elnyomnám a csikket, mint a kisebbre"&amp;"ndűségit 
D                A                   Bm                       G
fiatal vagyok és fáradt, de legalább értem, hogy miért vagyok még itt 
D          A        Bm        G      D        A  Bm  G
akármilyen meglepő, mégiscsak ezek a legszebb éveink 
"&amp;"D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"&amp;" A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c r="G71" s="27" t="str">
        <f>IFERROR(__xludf.DUMMYFUNCTION("""COMPUTED_VALUE"""),":)")</f>
        <v>:)</v>
      </c>
      <c r="H71" s="22">
        <f t="shared" ref="H71:I71" si="71">LEN(D71)</f>
        <v>43</v>
      </c>
      <c r="I71" s="22">
        <f t="shared" si="71"/>
        <v>43</v>
      </c>
      <c r="J71" s="12">
        <f t="shared" si="3"/>
        <v>1</v>
      </c>
      <c r="K71" s="12" t="str">
        <f>VLOOKUP(F71,Data!$A$2:$C$12,3,false)</f>
        <v>#N/A</v>
      </c>
      <c r="L71" s="12" t="str">
        <f>IF(G71,Data!$G$4,Data!$G$5)</f>
        <v>#VALUE!</v>
      </c>
      <c r="M71" s="22" t="str">
        <f>VLOOKUP(F71,Data!$A$2:$E$12,4,false)</f>
        <v>#N/A</v>
      </c>
      <c r="N71" s="22" t="str">
        <f>VLOOKUP(F71,Data!$A$2:$E$12,5,false)</f>
        <v>#N/A</v>
      </c>
    </row>
    <row r="72" ht="15.75" hidden="1" customHeight="1">
      <c r="A72" s="27" t="str">
        <f>IFERROR(__xludf.DUMMYFUNCTION("""COMPUTED_VALUE"""),"T21")</f>
        <v>T21</v>
      </c>
      <c r="B72" s="27" t="str">
        <f>IFERROR(__xludf.DUMMYFUNCTION("""COMPUTED_VALUE"""),"Az utcán")</f>
        <v>Az utcán</v>
      </c>
      <c r="C72" s="27"/>
      <c r="D72" s="28" t="str">
        <f>IFERROR(__xludf.DUMMYFUNCTION("""COMPUTED_VALUE"""),"https://www.youtube.com/watch?v=hxyEMryOkOU")</f>
        <v>https://www.youtube.com/watch?v=hxyEMryOkOU</v>
      </c>
      <c r="E72" s="28" t="str">
        <f>IFERROR(__xludf.DUMMYFUNCTION("""COMPUTED_VALUE"""),"https://www.youtube.com/watch?v=hxyEMryOkOU")</f>
        <v>https://www.youtube.com/watch?v=hxyEMryOkOU</v>
      </c>
      <c r="F72" s="27"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c r="G72" s="27" t="str">
        <f>IFERROR(__xludf.DUMMYFUNCTION("""COMPUTED_VALUE"""),":)")</f>
        <v>:)</v>
      </c>
      <c r="H72" s="22">
        <f t="shared" ref="H72:I72" si="72">LEN(D72)</f>
        <v>43</v>
      </c>
      <c r="I72" s="22">
        <f t="shared" si="72"/>
        <v>43</v>
      </c>
      <c r="J72" s="12">
        <f t="shared" si="3"/>
        <v>1</v>
      </c>
      <c r="K72" s="12" t="str">
        <f>VLOOKUP(F72,Data!$A$2:$C$12,3,false)</f>
        <v>#N/A</v>
      </c>
      <c r="L72" s="12" t="str">
        <f>IF(G72,Data!$G$4,Data!$G$5)</f>
        <v>#VALUE!</v>
      </c>
      <c r="M72" s="22" t="str">
        <f>VLOOKUP(F72,Data!$A$2:$E$12,4,false)</f>
        <v>#N/A</v>
      </c>
      <c r="N72" s="22" t="str">
        <f>VLOOKUP(F72,Data!$A$2:$E$12,5,false)</f>
        <v>#N/A</v>
      </c>
    </row>
    <row r="73" ht="15.75" hidden="1" customHeight="1">
      <c r="A73" s="27" t="str">
        <f>IFERROR(__xludf.DUMMYFUNCTION("""COMPUTED_VALUE"""),"T22")</f>
        <v>T22</v>
      </c>
      <c r="B73" s="27" t="str">
        <f>IFERROR(__xludf.DUMMYFUNCTION("""COMPUTED_VALUE"""),"Baj van a részeg tengerésszel")</f>
        <v>Baj van a részeg tengerésszel</v>
      </c>
      <c r="C73" s="27"/>
      <c r="D73" s="28" t="str">
        <f>IFERROR(__xludf.DUMMYFUNCTION("""COMPUTED_VALUE"""),"https://www.youtube.com/watch?v=1Kqsfb4UFJI")</f>
        <v>https://www.youtube.com/watch?v=1Kqsfb4UFJI</v>
      </c>
      <c r="E73" s="28" t="str">
        <f>IFERROR(__xludf.DUMMYFUNCTION("""COMPUTED_VALUE"""),"https://www.youtube.com/watch?v=LDdamEkxiyU")</f>
        <v>https://www.youtube.com/watch?v=LDdamEkxiyU</v>
      </c>
      <c r="F73" s="27"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c r="G73" s="27" t="str">
        <f>IFERROR(__xludf.DUMMYFUNCTION("""COMPUTED_VALUE"""),":)")</f>
        <v>:)</v>
      </c>
      <c r="H73" s="22">
        <f t="shared" ref="H73:I73" si="73">LEN(D73)</f>
        <v>43</v>
      </c>
      <c r="I73" s="22">
        <f t="shared" si="73"/>
        <v>43</v>
      </c>
      <c r="J73" s="12">
        <f t="shared" si="3"/>
        <v>1</v>
      </c>
      <c r="K73" s="12" t="str">
        <f>VLOOKUP(F73,Data!$A$2:$C$12,3,false)</f>
        <v>#N/A</v>
      </c>
      <c r="L73" s="12" t="str">
        <f>IF(G73,Data!$G$4,Data!$G$5)</f>
        <v>#VALUE!</v>
      </c>
      <c r="M73" s="22" t="str">
        <f>VLOOKUP(F73,Data!$A$2:$E$12,4,false)</f>
        <v>#N/A</v>
      </c>
      <c r="N73" s="22" t="str">
        <f>VLOOKUP(F73,Data!$A$2:$E$12,5,false)</f>
        <v>#N/A</v>
      </c>
    </row>
    <row r="74" ht="15.75" hidden="1" customHeight="1">
      <c r="A74" s="27" t="str">
        <f>IFERROR(__xludf.DUMMYFUNCTION("""COMPUTED_VALUE"""),"T23")</f>
        <v>T23</v>
      </c>
      <c r="B74" s="27" t="str">
        <f>IFERROR(__xludf.DUMMYFUNCTION("""COMPUTED_VALUE"""),"Rejtelmek")</f>
        <v>Rejtelmek</v>
      </c>
      <c r="C74" s="27"/>
      <c r="D74" s="28" t="str">
        <f>IFERROR(__xludf.DUMMYFUNCTION("""COMPUTED_VALUE"""),"https://www.youtube.com/watch?v=foJUYo02E2w")</f>
        <v>https://www.youtube.com/watch?v=foJUYo02E2w</v>
      </c>
      <c r="E74" s="28" t="str">
        <f>IFERROR(__xludf.DUMMYFUNCTION("""COMPUTED_VALUE"""),"https://www.youtube.com/watch?v=rfLXXqXIXTE")</f>
        <v>https://www.youtube.com/watch?v=rfLXXqXIXTE</v>
      </c>
      <c r="F74" s="27"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c r="G74" s="27" t="str">
        <f>IFERROR(__xludf.DUMMYFUNCTION("""COMPUTED_VALUE"""),":)")</f>
        <v>:)</v>
      </c>
      <c r="H74" s="22">
        <f t="shared" ref="H74:I74" si="74">LEN(D74)</f>
        <v>43</v>
      </c>
      <c r="I74" s="22">
        <f t="shared" si="74"/>
        <v>43</v>
      </c>
      <c r="J74" s="12">
        <f t="shared" si="3"/>
        <v>1</v>
      </c>
      <c r="K74" s="12" t="str">
        <f>VLOOKUP(F74,Data!$A$2:$C$12,3,false)</f>
        <v>#N/A</v>
      </c>
      <c r="L74" s="12" t="str">
        <f>IF(G74,Data!$G$4,Data!$G$5)</f>
        <v>#VALUE!</v>
      </c>
      <c r="M74" s="22" t="str">
        <f>VLOOKUP(F74,Data!$A$2:$E$12,4,false)</f>
        <v>#N/A</v>
      </c>
      <c r="N74" s="22" t="str">
        <f>VLOOKUP(F74,Data!$A$2:$E$12,5,false)</f>
        <v>#N/A</v>
      </c>
    </row>
    <row r="75" ht="15.75" hidden="1" customHeight="1">
      <c r="A75" s="27" t="str">
        <f>IFERROR(__xludf.DUMMYFUNCTION("""COMPUTED_VALUE"""),"T24")</f>
        <v>T24</v>
      </c>
      <c r="B75" s="27" t="str">
        <f>IFERROR(__xludf.DUMMYFUNCTION("""COMPUTED_VALUE"""),"Oj, tízen voltunk mi testvérek")</f>
        <v>Oj, tízen voltunk mi testvérek</v>
      </c>
      <c r="C75" s="27" t="str">
        <f>IFERROR(__xludf.DUMMYFUNCTION("""COMPUTED_VALUE"""),"(1/2)")</f>
        <v>(1/2)</v>
      </c>
      <c r="D75" s="28" t="str">
        <f>IFERROR(__xludf.DUMMYFUNCTION("""COMPUTED_VALUE"""),"https://www.youtube.com/watch?v=j7WRDBhQ6C0")</f>
        <v>https://www.youtube.com/watch?v=j7WRDBhQ6C0</v>
      </c>
      <c r="E75" s="28" t="str">
        <f>IFERROR(__xludf.DUMMYFUNCTION("""COMPUTED_VALUE"""),"https://www.youtube.com/watch?v=j7WRDBhQ6C0")</f>
        <v>https://www.youtube.com/watch?v=j7WRDBhQ6C0</v>
      </c>
      <c r="F75" s="27"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c r="G75" s="27" t="str">
        <f>IFERROR(__xludf.DUMMYFUNCTION("""COMPUTED_VALUE"""),":)")</f>
        <v>:)</v>
      </c>
      <c r="H75" s="22">
        <f t="shared" ref="H75:I75" si="75">LEN(D75)</f>
        <v>43</v>
      </c>
      <c r="I75" s="22">
        <f t="shared" si="75"/>
        <v>43</v>
      </c>
      <c r="J75" s="12">
        <f t="shared" si="3"/>
        <v>1</v>
      </c>
      <c r="K75" s="12" t="str">
        <f>VLOOKUP(F75,Data!$A$2:$C$12,3,false)</f>
        <v>#N/A</v>
      </c>
      <c r="L75" s="12" t="str">
        <f>IF(G75,Data!$G$4,Data!$G$5)</f>
        <v>#VALUE!</v>
      </c>
      <c r="M75" s="22" t="str">
        <f>VLOOKUP(F75,Data!$A$2:$E$12,4,false)</f>
        <v>#N/A</v>
      </c>
      <c r="N75" s="22" t="str">
        <f>VLOOKUP(F75,Data!$A$2:$E$12,5,false)</f>
        <v>#N/A</v>
      </c>
    </row>
    <row r="76" ht="15.75" customHeight="1">
      <c r="A76" s="27" t="str">
        <f>IFERROR(__xludf.DUMMYFUNCTION("""COMPUTED_VALUE"""),"T25")</f>
        <v>T25</v>
      </c>
      <c r="B76" s="27" t="str">
        <f>IFERROR(__xludf.DUMMYFUNCTION("""COMPUTED_VALUE"""),"Embersólyom")</f>
        <v>Embersólyom</v>
      </c>
      <c r="C76" s="27"/>
      <c r="D76" s="28" t="str">
        <f>IFERROR(__xludf.DUMMYFUNCTION("""COMPUTED_VALUE"""),"https://www.youtube.com/watch?v=xey4rp0vZOY")</f>
        <v>https://www.youtube.com/watch?v=xey4rp0vZOY</v>
      </c>
      <c r="E76" s="28" t="str">
        <f>IFERROR(__xludf.DUMMYFUNCTION("""COMPUTED_VALUE"""),"https://www.youtube.com/watch?v=R02BzZH4J1s")</f>
        <v>https://www.youtube.com/watch?v=R02BzZH4J1s</v>
      </c>
      <c r="F76" s="27"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c r="G76" s="27" t="str">
        <f>IFERROR(__xludf.DUMMYFUNCTION("""COMPUTED_VALUE"""),":)")</f>
        <v>:)</v>
      </c>
      <c r="H76" s="22">
        <f t="shared" ref="H76:I76" si="76">LEN(D76)</f>
        <v>43</v>
      </c>
      <c r="I76" s="22">
        <f t="shared" si="76"/>
        <v>43</v>
      </c>
      <c r="J76" s="12">
        <f t="shared" si="3"/>
        <v>1</v>
      </c>
      <c r="K76" s="12" t="str">
        <f>VLOOKUP(F76,Data!$A$2:$C$12,3,false)</f>
        <v>#N/A</v>
      </c>
      <c r="L76" s="12" t="str">
        <f>IF(G76,Data!$G$4,Data!$G$5)</f>
        <v>#VALUE!</v>
      </c>
      <c r="M76" s="22" t="str">
        <f>VLOOKUP(F76,Data!$A$2:$E$12,4,false)</f>
        <v>#N/A</v>
      </c>
      <c r="N76" s="22" t="str">
        <f>VLOOKUP(F76,Data!$A$2:$E$12,5,false)</f>
        <v>#N/A</v>
      </c>
    </row>
    <row r="77" ht="15.75" hidden="1" customHeight="1">
      <c r="A77" s="27" t="str">
        <f>IFERROR(__xludf.DUMMYFUNCTION("""COMPUTED_VALUE"""),"T26")</f>
        <v>T26</v>
      </c>
      <c r="B77" s="27" t="str">
        <f>IFERROR(__xludf.DUMMYFUNCTION("""COMPUTED_VALUE"""),"Az éjszaka")</f>
        <v>Az éjszaka</v>
      </c>
      <c r="C77" s="27"/>
      <c r="D77" s="28" t="str">
        <f>IFERROR(__xludf.DUMMYFUNCTION("""COMPUTED_VALUE"""),"https://www.youtube.com/watch?v=lm94S_21S5o")</f>
        <v>https://www.youtube.com/watch?v=lm94S_21S5o</v>
      </c>
      <c r="E77" s="28" t="str">
        <f>IFERROR(__xludf.DUMMYFUNCTION("""COMPUTED_VALUE"""),"https://www.youtube.com/watch?v=T8-8U3PtiPw")</f>
        <v>https://www.youtube.com/watch?v=T8-8U3PtiPw</v>
      </c>
      <c r="F77" s="27"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c r="G77" s="27" t="str">
        <f>IFERROR(__xludf.DUMMYFUNCTION("""COMPUTED_VALUE"""),":)")</f>
        <v>:)</v>
      </c>
      <c r="H77" s="22">
        <f t="shared" ref="H77:I77" si="77">LEN(D77)</f>
        <v>43</v>
      </c>
      <c r="I77" s="22">
        <f t="shared" si="77"/>
        <v>43</v>
      </c>
      <c r="J77" s="12">
        <f t="shared" si="3"/>
        <v>1</v>
      </c>
      <c r="K77" s="12" t="str">
        <f>VLOOKUP(F77,Data!$A$2:$C$12,3,false)</f>
        <v>#N/A</v>
      </c>
      <c r="L77" s="12" t="str">
        <f>IF(G77,Data!$G$4,Data!$G$5)</f>
        <v>#VALUE!</v>
      </c>
      <c r="M77" s="22" t="str">
        <f>VLOOKUP(F77,Data!$A$2:$E$12,4,false)</f>
        <v>#N/A</v>
      </c>
      <c r="N77" s="22" t="str">
        <f>VLOOKUP(F77,Data!$A$2:$E$12,5,false)</f>
        <v>#N/A</v>
      </c>
    </row>
    <row r="78" ht="15.75" hidden="1" customHeight="1">
      <c r="A78" s="27" t="str">
        <f>IFERROR(__xludf.DUMMYFUNCTION("""COMPUTED_VALUE"""),"T27")</f>
        <v>T27</v>
      </c>
      <c r="B78" s="27" t="str">
        <f>IFERROR(__xludf.DUMMYFUNCTION("""COMPUTED_VALUE"""),"Ó, ne vidd el… ")</f>
        <v>Ó, ne vidd el… </v>
      </c>
      <c r="C78" s="27"/>
      <c r="D78" s="28" t="str">
        <f>IFERROR(__xludf.DUMMYFUNCTION("""COMPUTED_VALUE"""),"https://www.youtube.com/watch?v=-qWFehHbZ9A")</f>
        <v>https://www.youtube.com/watch?v=-qWFehHbZ9A</v>
      </c>
      <c r="E78" s="28" t="str">
        <f>IFERROR(__xludf.DUMMYFUNCTION("""COMPUTED_VALUE"""),"https://www.youtube.com/watch?v=fFixQcPCyjs")</f>
        <v>https://www.youtube.com/watch?v=fFixQcPCyjs</v>
      </c>
      <c r="F78" s="27"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c r="G78" s="27" t="str">
        <f>IFERROR(__xludf.DUMMYFUNCTION("""COMPUTED_VALUE"""),":)")</f>
        <v>:)</v>
      </c>
      <c r="H78" s="22">
        <f t="shared" ref="H78:I78" si="78">LEN(D78)</f>
        <v>43</v>
      </c>
      <c r="I78" s="22">
        <f t="shared" si="78"/>
        <v>43</v>
      </c>
      <c r="J78" s="12">
        <f t="shared" si="3"/>
        <v>1</v>
      </c>
      <c r="K78" s="12" t="str">
        <f>VLOOKUP(F78,Data!$A$2:$C$12,3,false)</f>
        <v>#N/A</v>
      </c>
      <c r="L78" s="12" t="str">
        <f>IF(G78,Data!$G$4,Data!$G$5)</f>
        <v>#VALUE!</v>
      </c>
      <c r="M78" s="22" t="str">
        <f>VLOOKUP(F78,Data!$A$2:$E$12,4,false)</f>
        <v>#N/A</v>
      </c>
      <c r="N78" s="22" t="str">
        <f>VLOOKUP(F78,Data!$A$2:$E$12,5,false)</f>
        <v>#N/A</v>
      </c>
    </row>
    <row r="79" ht="15.75" hidden="1" customHeight="1">
      <c r="A79" s="27" t="str">
        <f>IFERROR(__xludf.DUMMYFUNCTION("""COMPUTED_VALUE"""),"T28")</f>
        <v>T28</v>
      </c>
      <c r="B79" s="27" t="str">
        <f>IFERROR(__xludf.DUMMYFUNCTION("""COMPUTED_VALUE"""),"Csonka vers")</f>
        <v>Csonka vers</v>
      </c>
      <c r="C79" s="27"/>
      <c r="D79" s="28" t="str">
        <f>IFERROR(__xludf.DUMMYFUNCTION("""COMPUTED_VALUE"""),"https://www.youtube.com/watch?v=KWYNE_AG4Bk")</f>
        <v>https://www.youtube.com/watch?v=KWYNE_AG4Bk</v>
      </c>
      <c r="E79" s="28" t="str">
        <f>IFERROR(__xludf.DUMMYFUNCTION("""COMPUTED_VALUE"""),"https://www.youtube.com/watch?v=KWYNE_AG4Bk")</f>
        <v>https://www.youtube.com/watch?v=KWYNE_AG4Bk</v>
      </c>
      <c r="F79" s="27"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c r="G79" s="27" t="str">
        <f>IFERROR(__xludf.DUMMYFUNCTION("""COMPUTED_VALUE"""),":)")</f>
        <v>:)</v>
      </c>
      <c r="H79" s="22">
        <f t="shared" ref="H79:I79" si="79">LEN(D79)</f>
        <v>43</v>
      </c>
      <c r="I79" s="22">
        <f t="shared" si="79"/>
        <v>43</v>
      </c>
      <c r="J79" s="12">
        <f t="shared" si="3"/>
        <v>1</v>
      </c>
      <c r="K79" s="12" t="str">
        <f>VLOOKUP(F79,Data!$A$2:$C$12,3,false)</f>
        <v>#N/A</v>
      </c>
      <c r="L79" s="12" t="str">
        <f>IF(G79,Data!$G$4,Data!$G$5)</f>
        <v>#VALUE!</v>
      </c>
      <c r="M79" s="22" t="str">
        <f>VLOOKUP(F79,Data!$A$2:$E$12,4,false)</f>
        <v>#N/A</v>
      </c>
      <c r="N79" s="22" t="str">
        <f>VLOOKUP(F79,Data!$A$2:$E$12,5,false)</f>
        <v>#N/A</v>
      </c>
    </row>
    <row r="80" ht="15.75" hidden="1" customHeight="1">
      <c r="A80" s="27" t="str">
        <f>IFERROR(__xludf.DUMMYFUNCTION("""COMPUTED_VALUE"""),"T29")</f>
        <v>T29</v>
      </c>
      <c r="B80" s="27" t="str">
        <f>IFERROR(__xludf.DUMMYFUNCTION("""COMPUTED_VALUE"""),"A keszthelyi kikötőben")</f>
        <v>A keszthelyi kikötőben</v>
      </c>
      <c r="C80" s="27"/>
      <c r="D80" s="28" t="str">
        <f>IFERROR(__xludf.DUMMYFUNCTION("""COMPUTED_VALUE"""),"https://www.youtube.com/watch?v=OvLfqt9QYNU")</f>
        <v>https://www.youtube.com/watch?v=OvLfqt9QYNU</v>
      </c>
      <c r="E80" s="28" t="str">
        <f>IFERROR(__xludf.DUMMYFUNCTION("""COMPUTED_VALUE"""),"https://www.youtube.com/watch?v=OvLfqt9QYNU")</f>
        <v>https://www.youtube.com/watch?v=OvLfqt9QYNU</v>
      </c>
      <c r="F80" s="27"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c r="G80" s="27" t="str">
        <f>IFERROR(__xludf.DUMMYFUNCTION("""COMPUTED_VALUE"""),":)")</f>
        <v>:)</v>
      </c>
      <c r="H80" s="22">
        <f t="shared" ref="H80:I80" si="80">LEN(D80)</f>
        <v>43</v>
      </c>
      <c r="I80" s="22">
        <f t="shared" si="80"/>
        <v>43</v>
      </c>
      <c r="J80" s="12">
        <f t="shared" si="3"/>
        <v>1</v>
      </c>
      <c r="K80" s="12" t="str">
        <f>VLOOKUP(F80,Data!$A$2:$C$12,3,false)</f>
        <v>#N/A</v>
      </c>
      <c r="L80" s="12" t="str">
        <f>IF(G80,Data!$G$4,Data!$G$5)</f>
        <v>#VALUE!</v>
      </c>
      <c r="M80" s="22" t="str">
        <f>VLOOKUP(F80,Data!$A$2:$E$12,4,false)</f>
        <v>#N/A</v>
      </c>
      <c r="N80" s="22" t="str">
        <f>VLOOKUP(F80,Data!$A$2:$E$12,5,false)</f>
        <v>#N/A</v>
      </c>
    </row>
    <row r="81" ht="15.75" hidden="1" customHeight="1">
      <c r="A81" s="27" t="str">
        <f>IFERROR(__xludf.DUMMYFUNCTION("""COMPUTED_VALUE"""),"T30")</f>
        <v>T30</v>
      </c>
      <c r="B81" s="27" t="str">
        <f>IFERROR(__xludf.DUMMYFUNCTION("""COMPUTED_VALUE"""),"Afrika")</f>
        <v>Afrika</v>
      </c>
      <c r="C81" s="27"/>
      <c r="D81" s="28" t="str">
        <f>IFERROR(__xludf.DUMMYFUNCTION("""COMPUTED_VALUE"""),"https://www.youtube.com/watch?v=Sl2Gr_rMVWw")</f>
        <v>https://www.youtube.com/watch?v=Sl2Gr_rMVWw</v>
      </c>
      <c r="E81" s="28" t="str">
        <f>IFERROR(__xludf.DUMMYFUNCTION("""COMPUTED_VALUE"""),"https://www.youtube.com/watch?v=Ke-CJDtZZYM")</f>
        <v>https://www.youtube.com/watch?v=Ke-CJDtZZYM</v>
      </c>
      <c r="F81" s="27"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c r="G81" s="27" t="str">
        <f>IFERROR(__xludf.DUMMYFUNCTION("""COMPUTED_VALUE"""),":)")</f>
        <v>:)</v>
      </c>
      <c r="H81" s="22">
        <f t="shared" ref="H81:I81" si="81">LEN(D81)</f>
        <v>43</v>
      </c>
      <c r="I81" s="22">
        <f t="shared" si="81"/>
        <v>43</v>
      </c>
      <c r="J81" s="12">
        <f t="shared" si="3"/>
        <v>1</v>
      </c>
      <c r="K81" s="12" t="str">
        <f>VLOOKUP(F81,Data!$A$2:$C$12,3,false)</f>
        <v>#N/A</v>
      </c>
      <c r="L81" s="12" t="str">
        <f>IF(G81,Data!$G$4,Data!$G$5)</f>
        <v>#VALUE!</v>
      </c>
      <c r="M81" s="22" t="str">
        <f>VLOOKUP(F81,Data!$A$2:$E$12,4,false)</f>
        <v>#N/A</v>
      </c>
      <c r="N81" s="22" t="str">
        <f>VLOOKUP(F81,Data!$A$2:$E$12,5,false)</f>
        <v>#N/A</v>
      </c>
    </row>
    <row r="82" ht="15.75" customHeight="1">
      <c r="A82" s="27" t="str">
        <f>IFERROR(__xludf.DUMMYFUNCTION("""COMPUTED_VALUE"""),"T31")</f>
        <v>T31</v>
      </c>
      <c r="B82" s="27" t="str">
        <f>IFERROR(__xludf.DUMMYFUNCTION("""COMPUTED_VALUE"""),"Bál az Operában")</f>
        <v>Bál az Operában</v>
      </c>
      <c r="C82" s="27" t="str">
        <f>IFERROR(__xludf.DUMMYFUNCTION("""COMPUTED_VALUE"""),"(1/2)")</f>
        <v>(1/2)</v>
      </c>
      <c r="D82" s="28" t="str">
        <f>IFERROR(__xludf.DUMMYFUNCTION("""COMPUTED_VALUE"""),"https://www.youtube.com/watch?v=hBZty68vdwA")</f>
        <v>https://www.youtube.com/watch?v=hBZty68vdwA</v>
      </c>
      <c r="E82" s="28" t="str">
        <f>IFERROR(__xludf.DUMMYFUNCTION("""COMPUTED_VALUE"""),"https://www.youtube.com/watch?v=lNGvXHXmHL0")</f>
        <v>https://www.youtube.com/watch?v=lNGvXHXmHL0</v>
      </c>
      <c r="F82" s="27"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c r="G82" s="27" t="str">
        <f>IFERROR(__xludf.DUMMYFUNCTION("""COMPUTED_VALUE"""),":)")</f>
        <v>:)</v>
      </c>
      <c r="H82" s="22">
        <f t="shared" ref="H82:I82" si="82">LEN(D82)</f>
        <v>43</v>
      </c>
      <c r="I82" s="22">
        <f t="shared" si="82"/>
        <v>43</v>
      </c>
      <c r="J82" s="12">
        <f t="shared" si="3"/>
        <v>1</v>
      </c>
      <c r="K82" s="12" t="str">
        <f>VLOOKUP(F82,Data!$A$2:$C$12,3,false)</f>
        <v>#N/A</v>
      </c>
      <c r="L82" s="12" t="str">
        <f>IF(G82,Data!$G$4,Data!$G$5)</f>
        <v>#VALUE!</v>
      </c>
      <c r="M82" s="22" t="str">
        <f>VLOOKUP(F82,Data!$A$2:$E$12,4,false)</f>
        <v>#N/A</v>
      </c>
      <c r="N82" s="22" t="str">
        <f>VLOOKUP(F82,Data!$A$2:$E$12,5,false)</f>
        <v>#N/A</v>
      </c>
    </row>
    <row r="83" ht="15.75" hidden="1" customHeight="1">
      <c r="A83" s="27" t="str">
        <f>IFERROR(__xludf.DUMMYFUNCTION("""COMPUTED_VALUE"""),"T31")</f>
        <v>T31</v>
      </c>
      <c r="B83" s="27" t="str">
        <f>IFERROR(__xludf.DUMMYFUNCTION("""COMPUTED_VALUE"""),"Bál az Operában")</f>
        <v>Bál az Operában</v>
      </c>
      <c r="C83" s="27" t="str">
        <f>IFERROR(__xludf.DUMMYFUNCTION("""COMPUTED_VALUE"""),"(2/2)")</f>
        <v>(2/2)</v>
      </c>
      <c r="D83" s="28" t="str">
        <f>IFERROR(__xludf.DUMMYFUNCTION("""COMPUTED_VALUE"""),"https://www.youtube.com/watch?v=hBZty68vdwA")</f>
        <v>https://www.youtube.com/watch?v=hBZty68vdwA</v>
      </c>
      <c r="E83" s="28" t="str">
        <f>IFERROR(__xludf.DUMMYFUNCTION("""COMPUTED_VALUE"""),"https://www.youtube.com/watch?v=lNGvXHXmHL0")</f>
        <v>https://www.youtube.com/watch?v=lNGvXHXmHL0</v>
      </c>
      <c r="F83" s="27"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c r="G83" s="27" t="str">
        <f>IFERROR(__xludf.DUMMYFUNCTION("""COMPUTED_VALUE"""),":)")</f>
        <v>:)</v>
      </c>
      <c r="H83" s="22">
        <f t="shared" ref="H83:I83" si="83">LEN(D83)</f>
        <v>43</v>
      </c>
      <c r="I83" s="22">
        <f t="shared" si="83"/>
        <v>43</v>
      </c>
      <c r="J83" s="12">
        <f t="shared" si="3"/>
        <v>1</v>
      </c>
      <c r="K83" s="12" t="str">
        <f>VLOOKUP(F83,Data!$A$2:$C$12,3,false)</f>
        <v>#N/A</v>
      </c>
      <c r="L83" s="12" t="str">
        <f>IF(G83,Data!$G$4,Data!$G$5)</f>
        <v>#VALUE!</v>
      </c>
      <c r="M83" s="22" t="str">
        <f>VLOOKUP(F83,Data!$A$2:$E$12,4,false)</f>
        <v>#N/A</v>
      </c>
      <c r="N83" s="22" t="str">
        <f>VLOOKUP(F83,Data!$A$2:$E$12,5,false)</f>
        <v>#N/A</v>
      </c>
    </row>
    <row r="84" ht="15.75" customHeight="1">
      <c r="A84" s="27" t="str">
        <f>IFERROR(__xludf.DUMMYFUNCTION("""COMPUTED_VALUE"""),"T32")</f>
        <v>T32</v>
      </c>
      <c r="B84" s="27" t="str">
        <f>IFERROR(__xludf.DUMMYFUNCTION("""COMPUTED_VALUE"""),"Balatoni nyár ")</f>
        <v>Balatoni nyár </v>
      </c>
      <c r="C84" s="27"/>
      <c r="D84" s="28" t="str">
        <f>IFERROR(__xludf.DUMMYFUNCTION("""COMPUTED_VALUE"""),"https://www.youtube.com/watch?v=b_26SkhjGU0")</f>
        <v>https://www.youtube.com/watch?v=b_26SkhjGU0</v>
      </c>
      <c r="E84" s="28" t="str">
        <f>IFERROR(__xludf.DUMMYFUNCTION("""COMPUTED_VALUE"""),"https://www.youtube.com/watch?v=QaYj_k35zkU")</f>
        <v>https://www.youtube.com/watch?v=QaYj_k35zkU</v>
      </c>
      <c r="F84" s="27"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c r="G84" s="27" t="str">
        <f>IFERROR(__xludf.DUMMYFUNCTION("""COMPUTED_VALUE"""),":)")</f>
        <v>:)</v>
      </c>
      <c r="H84" s="22">
        <f t="shared" ref="H84:I84" si="84">LEN(D84)</f>
        <v>43</v>
      </c>
      <c r="I84" s="22">
        <f t="shared" si="84"/>
        <v>43</v>
      </c>
      <c r="J84" s="12">
        <f t="shared" si="3"/>
        <v>1</v>
      </c>
      <c r="K84" s="12" t="str">
        <f>VLOOKUP(F84,Data!$A$2:$C$12,3,false)</f>
        <v>#N/A</v>
      </c>
      <c r="L84" s="12" t="str">
        <f>IF(G84,Data!$G$4,Data!$G$5)</f>
        <v>#VALUE!</v>
      </c>
      <c r="M84" s="22" t="str">
        <f>VLOOKUP(F84,Data!$A$2:$E$12,4,false)</f>
        <v>#N/A</v>
      </c>
      <c r="N84" s="22" t="str">
        <f>VLOOKUP(F84,Data!$A$2:$E$12,5,false)</f>
        <v>#N/A</v>
      </c>
    </row>
    <row r="85" ht="15.75" hidden="1" customHeight="1">
      <c r="A85" s="27" t="str">
        <f>IFERROR(__xludf.DUMMYFUNCTION("""COMPUTED_VALUE"""),"T33")</f>
        <v>T33</v>
      </c>
      <c r="B85" s="27" t="str">
        <f>IFERROR(__xludf.DUMMYFUNCTION("""COMPUTED_VALUE"""),"Elizabeth ")</f>
        <v>Elizabeth </v>
      </c>
      <c r="C85" s="27"/>
      <c r="D85" s="28" t="str">
        <f>IFERROR(__xludf.DUMMYFUNCTION("""COMPUTED_VALUE"""),"https://www.youtube.com/watch?v=rCMs-Eo9OzU")</f>
        <v>https://www.youtube.com/watch?v=rCMs-Eo9OzU</v>
      </c>
      <c r="E85" s="28" t="str">
        <f>IFERROR(__xludf.DUMMYFUNCTION("""COMPUTED_VALUE"""),"https://www.youtube.com/watch?v=tRkMhVN4PHE")</f>
        <v>https://www.youtube.com/watch?v=tRkMhVN4PHE</v>
      </c>
      <c r="F85" s="27"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c r="G85" s="27" t="str">
        <f>IFERROR(__xludf.DUMMYFUNCTION("""COMPUTED_VALUE"""),":)")</f>
        <v>:)</v>
      </c>
      <c r="H85" s="22">
        <f t="shared" ref="H85:I85" si="85">LEN(D85)</f>
        <v>43</v>
      </c>
      <c r="I85" s="22">
        <f t="shared" si="85"/>
        <v>43</v>
      </c>
      <c r="J85" s="12">
        <f t="shared" si="3"/>
        <v>1</v>
      </c>
      <c r="K85" s="12" t="str">
        <f>VLOOKUP(F85,Data!$A$2:$C$12,3,false)</f>
        <v>#N/A</v>
      </c>
      <c r="L85" s="12" t="str">
        <f>IF(G85,Data!$G$4,Data!$G$5)</f>
        <v>#VALUE!</v>
      </c>
      <c r="M85" s="22" t="str">
        <f>VLOOKUP(F85,Data!$A$2:$E$12,4,false)</f>
        <v>#N/A</v>
      </c>
      <c r="N85" s="22" t="str">
        <f>VLOOKUP(F85,Data!$A$2:$E$12,5,false)</f>
        <v>#N/A</v>
      </c>
    </row>
    <row r="86" ht="15.75" hidden="1" customHeight="1">
      <c r="A86" s="27" t="str">
        <f>IFERROR(__xludf.DUMMYFUNCTION("""COMPUTED_VALUE"""),"T34")</f>
        <v>T34</v>
      </c>
      <c r="B86" s="27" t="str">
        <f>IFERROR(__xludf.DUMMYFUNCTION("""COMPUTED_VALUE"""),"Zár az égbolt")</f>
        <v>Zár az égbolt</v>
      </c>
      <c r="C86" s="27"/>
      <c r="D86" s="28" t="str">
        <f>IFERROR(__xludf.DUMMYFUNCTION("""COMPUTED_VALUE"""),"https://www.youtube.com/watch?v=n_a6OqWqqtk")</f>
        <v>https://www.youtube.com/watch?v=n_a6OqWqqtk</v>
      </c>
      <c r="E86" s="28" t="str">
        <f>IFERROR(__xludf.DUMMYFUNCTION("""COMPUTED_VALUE"""),"https://www.youtube.com/watch?v=sx2EyuqdvH0")</f>
        <v>https://www.youtube.com/watch?v=sx2EyuqdvH0</v>
      </c>
      <c r="F86" s="27"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c r="G86" s="27" t="str">
        <f>IFERROR(__xludf.DUMMYFUNCTION("""COMPUTED_VALUE"""),":)")</f>
        <v>:)</v>
      </c>
      <c r="H86" s="22">
        <f t="shared" ref="H86:I86" si="86">LEN(D86)</f>
        <v>43</v>
      </c>
      <c r="I86" s="22">
        <f t="shared" si="86"/>
        <v>43</v>
      </c>
      <c r="J86" s="12">
        <f t="shared" si="3"/>
        <v>1</v>
      </c>
      <c r="K86" s="12" t="str">
        <f>VLOOKUP(F86,Data!$A$2:$C$12,3,false)</f>
        <v>#N/A</v>
      </c>
      <c r="L86" s="12" t="str">
        <f>IF(G86,Data!$G$4,Data!$G$5)</f>
        <v>#VALUE!</v>
      </c>
      <c r="M86" s="22" t="str">
        <f>VLOOKUP(F86,Data!$A$2:$E$12,4,false)</f>
        <v>#N/A</v>
      </c>
      <c r="N86" s="22" t="str">
        <f>VLOOKUP(F86,Data!$A$2:$E$12,5,false)</f>
        <v>#N/A</v>
      </c>
    </row>
    <row r="87" ht="15.75" hidden="1" customHeight="1">
      <c r="A87" s="27" t="str">
        <f>IFERROR(__xludf.DUMMYFUNCTION("""COMPUTED_VALUE"""),"T35")</f>
        <v>T35</v>
      </c>
      <c r="B87" s="27" t="str">
        <f>IFERROR(__xludf.DUMMYFUNCTION("""COMPUTED_VALUE"""),"Ezt is elviszem magammal")</f>
        <v>Ezt is elviszem magammal</v>
      </c>
      <c r="C87" s="27" t="str">
        <f>IFERROR(__xludf.DUMMYFUNCTION("""COMPUTED_VALUE"""),"(1/2)")</f>
        <v>(1/2)</v>
      </c>
      <c r="D87" s="28" t="str">
        <f>IFERROR(__xludf.DUMMYFUNCTION("""COMPUTED_VALUE"""),"https://www.youtube.com/watch?v=eEmWyteg7yo")</f>
        <v>https://www.youtube.com/watch?v=eEmWyteg7yo</v>
      </c>
      <c r="E87" s="28" t="str">
        <f>IFERROR(__xludf.DUMMYFUNCTION("""COMPUTED_VALUE"""),"https://www.youtube.com/watch?v=eEmWyteg7yo")</f>
        <v>https://www.youtube.com/watch?v=eEmWyteg7yo</v>
      </c>
      <c r="F87" s="27"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7" s="27" t="str">
        <f>IFERROR(__xludf.DUMMYFUNCTION("""COMPUTED_VALUE"""),":)")</f>
        <v>:)</v>
      </c>
      <c r="H87" s="22">
        <f t="shared" ref="H87:I87" si="87">LEN(D87)</f>
        <v>43</v>
      </c>
      <c r="I87" s="22">
        <f t="shared" si="87"/>
        <v>43</v>
      </c>
      <c r="J87" s="12">
        <f t="shared" si="3"/>
        <v>1</v>
      </c>
      <c r="K87" s="12" t="str">
        <f>VLOOKUP(F87,Data!$A$2:$C$12,3,false)</f>
        <v>#N/A</v>
      </c>
      <c r="L87" s="12" t="str">
        <f>IF(G87,Data!$G$4,Data!$G$5)</f>
        <v>#VALUE!</v>
      </c>
      <c r="M87" s="22" t="str">
        <f>VLOOKUP(F87,Data!$A$2:$E$12,4,false)</f>
        <v>#N/A</v>
      </c>
      <c r="N87" s="22" t="str">
        <f>VLOOKUP(F87,Data!$A$2:$E$12,5,false)</f>
        <v>#N/A</v>
      </c>
    </row>
    <row r="88" ht="15.75" customHeight="1">
      <c r="A88" s="27" t="str">
        <f>IFERROR(__xludf.DUMMYFUNCTION("""COMPUTED_VALUE"""),"T35")</f>
        <v>T35</v>
      </c>
      <c r="B88" s="27" t="str">
        <f>IFERROR(__xludf.DUMMYFUNCTION("""COMPUTED_VALUE"""),"Ezt is elviszem magammal")</f>
        <v>Ezt is elviszem magammal</v>
      </c>
      <c r="C88" s="27" t="str">
        <f>IFERROR(__xludf.DUMMYFUNCTION("""COMPUTED_VALUE"""),"(2/2)")</f>
        <v>(2/2)</v>
      </c>
      <c r="D88" s="28" t="str">
        <f>IFERROR(__xludf.DUMMYFUNCTION("""COMPUTED_VALUE"""),"https://www.youtube.com/watch?v=eEmWyteg7yo")</f>
        <v>https://www.youtube.com/watch?v=eEmWyteg7yo</v>
      </c>
      <c r="E88" s="28" t="str">
        <f>IFERROR(__xludf.DUMMYFUNCTION("""COMPUTED_VALUE"""),"https://www.youtube.com/watch?v=eEmWyteg7yo")</f>
        <v>https://www.youtube.com/watch?v=eEmWyteg7yo</v>
      </c>
      <c r="F88" s="27"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8" s="27" t="str">
        <f>IFERROR(__xludf.DUMMYFUNCTION("""COMPUTED_VALUE"""),":)")</f>
        <v>:)</v>
      </c>
      <c r="H88" s="22">
        <f t="shared" ref="H88:I88" si="88">LEN(D88)</f>
        <v>43</v>
      </c>
      <c r="I88" s="22">
        <f t="shared" si="88"/>
        <v>43</v>
      </c>
      <c r="J88" s="12">
        <f t="shared" si="3"/>
        <v>1</v>
      </c>
      <c r="K88" s="12" t="str">
        <f>VLOOKUP(F88,Data!$A$2:$C$12,3,false)</f>
        <v>#N/A</v>
      </c>
      <c r="L88" s="12" t="str">
        <f>IF(G88,Data!$G$4,Data!$G$5)</f>
        <v>#VALUE!</v>
      </c>
      <c r="M88" s="22" t="str">
        <f>VLOOKUP(F88,Data!$A$2:$E$12,4,false)</f>
        <v>#N/A</v>
      </c>
      <c r="N88" s="22" t="str">
        <f>VLOOKUP(F88,Data!$A$2:$E$12,5,false)</f>
        <v>#N/A</v>
      </c>
    </row>
    <row r="89" ht="15.75" hidden="1" customHeight="1">
      <c r="A89" s="27" t="str">
        <f>IFERROR(__xludf.DUMMYFUNCTION("""COMPUTED_VALUE"""),"T36")</f>
        <v>T36</v>
      </c>
      <c r="B89" s="27" t="str">
        <f>IFERROR(__xludf.DUMMYFUNCTION("""COMPUTED_VALUE"""),"Csillag vagy fecske")</f>
        <v>Csillag vagy fecske</v>
      </c>
      <c r="C89" s="27"/>
      <c r="D89" s="28" t="str">
        <f>IFERROR(__xludf.DUMMYFUNCTION("""COMPUTED_VALUE"""),"https://www.youtube.com/watch?v=14jMDziqES4")</f>
        <v>https://www.youtube.com/watch?v=14jMDziqES4</v>
      </c>
      <c r="E89" s="28" t="str">
        <f>IFERROR(__xludf.DUMMYFUNCTION("""COMPUTED_VALUE"""),"https://www.youtube.com/watch?v=xxVqDZcLSyY")</f>
        <v>https://www.youtube.com/watch?v=xxVqDZcLSyY</v>
      </c>
      <c r="F89" s="27"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c r="G89" s="27" t="str">
        <f>IFERROR(__xludf.DUMMYFUNCTION("""COMPUTED_VALUE"""),":)")</f>
        <v>:)</v>
      </c>
      <c r="H89" s="22">
        <f t="shared" ref="H89:I89" si="89">LEN(D89)</f>
        <v>43</v>
      </c>
      <c r="I89" s="22">
        <f t="shared" si="89"/>
        <v>43</v>
      </c>
      <c r="J89" s="12">
        <f t="shared" si="3"/>
        <v>1</v>
      </c>
      <c r="K89" s="12" t="str">
        <f>VLOOKUP(F89,Data!$A$2:$C$12,3,false)</f>
        <v>#N/A</v>
      </c>
      <c r="L89" s="12" t="str">
        <f>IF(G89,Data!$G$4,Data!$G$5)</f>
        <v>#VALUE!</v>
      </c>
      <c r="M89" s="22" t="str">
        <f>VLOOKUP(F89,Data!$A$2:$E$12,4,false)</f>
        <v>#N/A</v>
      </c>
      <c r="N89" s="22" t="str">
        <f>VLOOKUP(F89,Data!$A$2:$E$12,5,false)</f>
        <v>#N/A</v>
      </c>
    </row>
    <row r="90" ht="15.75" customHeight="1">
      <c r="A90" s="27" t="str">
        <f>IFERROR(__xludf.DUMMYFUNCTION("""COMPUTED_VALUE"""),"T37")</f>
        <v>T37</v>
      </c>
      <c r="B90" s="27" t="str">
        <f>IFERROR(__xludf.DUMMYFUNCTION("""COMPUTED_VALUE"""),"Ha az életben ")</f>
        <v>Ha az életben </v>
      </c>
      <c r="C90" s="27"/>
      <c r="D90" s="28" t="str">
        <f>IFERROR(__xludf.DUMMYFUNCTION("""COMPUTED_VALUE"""),"https://www.youtube.com/watch?v=mMaEeK--SUo")</f>
        <v>https://www.youtube.com/watch?v=mMaEeK--SUo</v>
      </c>
      <c r="E90" s="28" t="str">
        <f>IFERROR(__xludf.DUMMYFUNCTION("""COMPUTED_VALUE"""),"https://www.youtube.com/watch?v=RjY5haxPUxs")</f>
        <v>https://www.youtube.com/watch?v=RjY5haxPUxs</v>
      </c>
      <c r="F90" s="27"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c r="G90" s="27" t="str">
        <f>IFERROR(__xludf.DUMMYFUNCTION("""COMPUTED_VALUE"""),":)")</f>
        <v>:)</v>
      </c>
      <c r="H90" s="22">
        <f t="shared" ref="H90:I90" si="90">LEN(D90)</f>
        <v>43</v>
      </c>
      <c r="I90" s="22">
        <f t="shared" si="90"/>
        <v>43</v>
      </c>
      <c r="J90" s="12">
        <f t="shared" si="3"/>
        <v>1</v>
      </c>
      <c r="K90" s="12" t="str">
        <f>VLOOKUP(F90,Data!$A$2:$C$12,3,false)</f>
        <v>#N/A</v>
      </c>
      <c r="L90" s="12" t="str">
        <f>IF(G90,Data!$G$4,Data!$G$5)</f>
        <v>#VALUE!</v>
      </c>
      <c r="M90" s="22" t="str">
        <f>VLOOKUP(F90,Data!$A$2:$E$12,4,false)</f>
        <v>#N/A</v>
      </c>
      <c r="N90" s="22" t="str">
        <f>VLOOKUP(F90,Data!$A$2:$E$12,5,false)</f>
        <v>#N/A</v>
      </c>
    </row>
    <row r="91" ht="15.75" customHeight="1">
      <c r="A91" s="27" t="str">
        <f>IFERROR(__xludf.DUMMYFUNCTION("""COMPUTED_VALUE"""),"T38")</f>
        <v>T38</v>
      </c>
      <c r="B91" s="27" t="str">
        <f>IFERROR(__xludf.DUMMYFUNCTION("""COMPUTED_VALUE"""),"Szájber gyerek ")</f>
        <v>Szájber gyerek </v>
      </c>
      <c r="C91" s="27"/>
      <c r="D91" s="28" t="str">
        <f>IFERROR(__xludf.DUMMYFUNCTION("""COMPUTED_VALUE"""),"https://www.youtube.com/watch?v=TdgRQvi6EFg")</f>
        <v>https://www.youtube.com/watch?v=TdgRQvi6EFg</v>
      </c>
      <c r="E91" s="28" t="str">
        <f>IFERROR(__xludf.DUMMYFUNCTION("""COMPUTED_VALUE"""),"https://www.youtube.com/watch?v=w3nQS3SDRnE")</f>
        <v>https://www.youtube.com/watch?v=w3nQS3SDRnE</v>
      </c>
      <c r="F91" s="27"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c r="G91" s="27" t="str">
        <f>IFERROR(__xludf.DUMMYFUNCTION("""COMPUTED_VALUE"""),":)")</f>
        <v>:)</v>
      </c>
      <c r="H91" s="22">
        <f t="shared" ref="H91:I91" si="91">LEN(D91)</f>
        <v>43</v>
      </c>
      <c r="I91" s="22">
        <f t="shared" si="91"/>
        <v>43</v>
      </c>
      <c r="J91" s="12">
        <f t="shared" si="3"/>
        <v>1</v>
      </c>
      <c r="K91" s="12" t="str">
        <f>VLOOKUP(F91,Data!$A$2:$C$12,3,false)</f>
        <v>#N/A</v>
      </c>
      <c r="L91" s="12" t="str">
        <f>IF(G91,Data!$G$4,Data!$G$5)</f>
        <v>#VALUE!</v>
      </c>
      <c r="M91" s="22" t="str">
        <f>VLOOKUP(F91,Data!$A$2:$E$12,4,false)</f>
        <v>#N/A</v>
      </c>
      <c r="N91" s="22" t="str">
        <f>VLOOKUP(F91,Data!$A$2:$E$12,5,false)</f>
        <v>#N/A</v>
      </c>
    </row>
    <row r="92" ht="15.75" customHeight="1">
      <c r="A92" s="27" t="str">
        <f>IFERROR(__xludf.DUMMYFUNCTION("""COMPUTED_VALUE"""),"T39")</f>
        <v>T39</v>
      </c>
      <c r="B92" s="27" t="str">
        <f>IFERROR(__xludf.DUMMYFUNCTION("""COMPUTED_VALUE"""),"A pancsoló kislány")</f>
        <v>A pancsoló kislány</v>
      </c>
      <c r="C92" s="27"/>
      <c r="D92" s="28" t="str">
        <f>IFERROR(__xludf.DUMMYFUNCTION("""COMPUTED_VALUE"""),"https://www.youtube.com/watch?v=EB0VldSw3w0")</f>
        <v>https://www.youtube.com/watch?v=EB0VldSw3w0</v>
      </c>
      <c r="E92" s="28" t="str">
        <f>IFERROR(__xludf.DUMMYFUNCTION("""COMPUTED_VALUE"""),"https://www.youtube.com/watch?v=Ln8WUSI60QU")</f>
        <v>https://www.youtube.com/watch?v=Ln8WUSI60QU</v>
      </c>
      <c r="F92" s="27"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"&amp;"  G
A strandon az is jó, hogy van még sok gyerek és van homokozó és labdázni lehet, 
     G             G       G7         C        C             G             A           D
Csak azt nem értem én, sok néni miért visít, ha véletlen egy labda épp egy bác"&amp;"sira ráesik
Ij jaj
G             G   G          D     D7          D    D          G
De apukámra is én azért ügyelek és mindig odavisz a lelkiismeret
    G         G       G7           C         C             G
Ha fekszik a napon és izzad már szeg"&amp;"ény, kis vödröm vízzel megtöltöm és
A                 D
rálocsolom mind én
Ij jaj
    G        G    G        D        D7           D    D         G
De este szomorú a hazafelé út, mert otthon az anyu a fürdőkádba dug,
    G                G   G"&amp;"7           C        C               G            
Már volt vele ezért már nagyon sok vitám, mert ki hallott még ilyen dolgot,
A                D
Fürdeni strand után ?
       G              C               D                  G                    
O"&amp;"tthon nem szeretem a strandot, 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c r="G92" s="27" t="str">
        <f>IFERROR(__xludf.DUMMYFUNCTION("""COMPUTED_VALUE"""),":)")</f>
        <v>:)</v>
      </c>
      <c r="H92" s="22">
        <f t="shared" ref="H92:I92" si="92">LEN(D92)</f>
        <v>43</v>
      </c>
      <c r="I92" s="22">
        <f t="shared" si="92"/>
        <v>43</v>
      </c>
      <c r="J92" s="12">
        <f t="shared" si="3"/>
        <v>1</v>
      </c>
      <c r="K92" s="12" t="str">
        <f>VLOOKUP(F92,Data!$A$2:$C$12,3,false)</f>
        <v>#N/A</v>
      </c>
      <c r="L92" s="12" t="str">
        <f>IF(G92,Data!$G$4,Data!$G$5)</f>
        <v>#VALUE!</v>
      </c>
      <c r="M92" s="22" t="str">
        <f>VLOOKUP(F92,Data!$A$2:$E$12,4,false)</f>
        <v>#N/A</v>
      </c>
      <c r="N92" s="22" t="str">
        <f>VLOOKUP(F92,Data!$A$2:$E$12,5,false)</f>
        <v>#N/A</v>
      </c>
    </row>
    <row r="93" ht="15.75" hidden="1" customHeight="1">
      <c r="A93" s="27" t="str">
        <f>IFERROR(__xludf.DUMMYFUNCTION("""COMPUTED_VALUE"""),"T40")</f>
        <v>T40</v>
      </c>
      <c r="B93" s="27" t="str">
        <f>IFERROR(__xludf.DUMMYFUNCTION("""COMPUTED_VALUE"""),"Iszom a bort")</f>
        <v>Iszom a bort</v>
      </c>
      <c r="C93" s="27"/>
      <c r="D93" s="28" t="str">
        <f>IFERROR(__xludf.DUMMYFUNCTION("""COMPUTED_VALUE"""),"https://www.youtube.com/watch?v=Fy1YVaIlmcs")</f>
        <v>https://www.youtube.com/watch?v=Fy1YVaIlmcs</v>
      </c>
      <c r="E93" s="28" t="str">
        <f>IFERROR(__xludf.DUMMYFUNCTION("""COMPUTED_VALUE"""),"https://www.youtube.com/watch?v=Pe5b5Z2tCLw")</f>
        <v>https://www.youtube.com/watch?v=Pe5b5Z2tCLw</v>
      </c>
      <c r="F93" s="27"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c r="G93" s="27" t="str">
        <f>IFERROR(__xludf.DUMMYFUNCTION("""COMPUTED_VALUE"""),":)")</f>
        <v>:)</v>
      </c>
      <c r="H93" s="22">
        <f t="shared" ref="H93:I93" si="93">LEN(D93)</f>
        <v>43</v>
      </c>
      <c r="I93" s="22">
        <f t="shared" si="93"/>
        <v>43</v>
      </c>
      <c r="J93" s="12">
        <f t="shared" si="3"/>
        <v>1</v>
      </c>
      <c r="K93" s="12" t="str">
        <f>VLOOKUP(F93,Data!$A$2:$C$12,3,false)</f>
        <v>#N/A</v>
      </c>
      <c r="L93" s="12" t="str">
        <f>IF(G93,Data!$G$4,Data!$G$5)</f>
        <v>#VALUE!</v>
      </c>
      <c r="M93" s="22" t="str">
        <f>VLOOKUP(F93,Data!$A$2:$E$12,4,false)</f>
        <v>#N/A</v>
      </c>
      <c r="N93" s="22" t="str">
        <f>VLOOKUP(F93,Data!$A$2:$E$12,5,false)</f>
        <v>#N/A</v>
      </c>
    </row>
    <row r="94" ht="15.75" hidden="1" customHeight="1">
      <c r="A94" s="27" t="str">
        <f>IFERROR(__xludf.DUMMYFUNCTION("""COMPUTED_VALUE"""),"T41")</f>
        <v>T41</v>
      </c>
      <c r="B94" s="27" t="str">
        <f>IFERROR(__xludf.DUMMYFUNCTION("""COMPUTED_VALUE"""),"Micimackó")</f>
        <v>Micimackó</v>
      </c>
      <c r="C94" s="27" t="str">
        <f>IFERROR(__xludf.DUMMYFUNCTION("""COMPUTED_VALUE"""),"(1/2)")</f>
        <v>(1/2)</v>
      </c>
      <c r="D94" s="28" t="str">
        <f>IFERROR(__xludf.DUMMYFUNCTION("""COMPUTED_VALUE"""),"https://www.youtube.com/watch?v=RUuXKgS7feE")</f>
        <v>https://www.youtube.com/watch?v=RUuXKgS7feE</v>
      </c>
      <c r="E94" s="28" t="str">
        <f>IFERROR(__xludf.DUMMYFUNCTION("""COMPUTED_VALUE"""),"https://www.youtube.com/watch?v=hq5oB3ruJiE")</f>
        <v>https://www.youtube.com/watch?v=hq5oB3ruJiE</v>
      </c>
      <c r="F94" s="27"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c r="G94" s="27" t="str">
        <f>IFERROR(__xludf.DUMMYFUNCTION("""COMPUTED_VALUE"""),":)")</f>
        <v>:)</v>
      </c>
      <c r="H94" s="22">
        <f t="shared" ref="H94:I94" si="94">LEN(D94)</f>
        <v>43</v>
      </c>
      <c r="I94" s="22">
        <f t="shared" si="94"/>
        <v>43</v>
      </c>
      <c r="J94" s="12">
        <f t="shared" si="3"/>
        <v>1</v>
      </c>
      <c r="K94" s="12" t="str">
        <f>VLOOKUP(F94,Data!$A$2:$C$12,3,false)</f>
        <v>#N/A</v>
      </c>
      <c r="L94" s="12" t="str">
        <f>IF(G94,Data!$G$4,Data!$G$5)</f>
        <v>#VALUE!</v>
      </c>
      <c r="M94" s="22" t="str">
        <f>VLOOKUP(F94,Data!$A$2:$E$12,4,false)</f>
        <v>#N/A</v>
      </c>
      <c r="N94" s="22" t="str">
        <f>VLOOKUP(F94,Data!$A$2:$E$12,5,false)</f>
        <v>#N/A</v>
      </c>
    </row>
    <row r="95" ht="15.75" customHeight="1">
      <c r="A95" s="27" t="str">
        <f>IFERROR(__xludf.DUMMYFUNCTION("""COMPUTED_VALUE"""),"T41")</f>
        <v>T41</v>
      </c>
      <c r="B95" s="27" t="str">
        <f>IFERROR(__xludf.DUMMYFUNCTION("""COMPUTED_VALUE"""),"Micimackó")</f>
        <v>Micimackó</v>
      </c>
      <c r="C95" s="27" t="str">
        <f>IFERROR(__xludf.DUMMYFUNCTION("""COMPUTED_VALUE"""),"(2/2)")</f>
        <v>(2/2)</v>
      </c>
      <c r="D95" s="28" t="str">
        <f>IFERROR(__xludf.DUMMYFUNCTION("""COMPUTED_VALUE"""),"https://www.youtube.com/watch?v=RUuXKgS7feE")</f>
        <v>https://www.youtube.com/watch?v=RUuXKgS7feE</v>
      </c>
      <c r="E95" s="28" t="str">
        <f>IFERROR(__xludf.DUMMYFUNCTION("""COMPUTED_VALUE"""),"https://www.youtube.com/watch?v=hq5oB3ruJiE")</f>
        <v>https://www.youtube.com/watch?v=hq5oB3ruJiE</v>
      </c>
      <c r="F95" s="27"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c r="G95" s="27" t="str">
        <f>IFERROR(__xludf.DUMMYFUNCTION("""COMPUTED_VALUE"""),":)")</f>
        <v>:)</v>
      </c>
      <c r="H95" s="22">
        <f t="shared" ref="H95:I95" si="95">LEN(D95)</f>
        <v>43</v>
      </c>
      <c r="I95" s="22">
        <f t="shared" si="95"/>
        <v>43</v>
      </c>
      <c r="J95" s="12">
        <f t="shared" si="3"/>
        <v>1</v>
      </c>
      <c r="K95" s="12" t="str">
        <f>VLOOKUP(F95,Data!$A$2:$C$12,3,false)</f>
        <v>#N/A</v>
      </c>
      <c r="L95" s="12" t="str">
        <f>IF(G95,Data!$G$4,Data!$G$5)</f>
        <v>#VALUE!</v>
      </c>
      <c r="M95" s="22" t="str">
        <f>VLOOKUP(F95,Data!$A$2:$E$12,4,false)</f>
        <v>#N/A</v>
      </c>
      <c r="N95" s="22" t="str">
        <f>VLOOKUP(F95,Data!$A$2:$E$12,5,false)</f>
        <v>#N/A</v>
      </c>
    </row>
    <row r="96" ht="15.75" customHeight="1">
      <c r="A96" s="27" t="str">
        <f>IFERROR(__xludf.DUMMYFUNCTION("""COMPUTED_VALUE"""),"T42")</f>
        <v>T42</v>
      </c>
      <c r="B96" s="27" t="str">
        <f>IFERROR(__xludf.DUMMYFUNCTION("""COMPUTED_VALUE"""),"Hallelujah")</f>
        <v>Hallelujah</v>
      </c>
      <c r="C96" s="27" t="str">
        <f>IFERROR(__xludf.DUMMYFUNCTION("""COMPUTED_VALUE"""),"(1/2)")</f>
        <v>(1/2)</v>
      </c>
      <c r="D96" s="28" t="str">
        <f>IFERROR(__xludf.DUMMYFUNCTION("""COMPUTED_VALUE"""),"https://www.youtube.com/watch?v=ttEMYvpoR-k")</f>
        <v>https://www.youtube.com/watch?v=ttEMYvpoR-k</v>
      </c>
      <c r="E96" s="28" t="str">
        <f>IFERROR(__xludf.DUMMYFUNCTION("""COMPUTED_VALUE"""),"https://www.youtube.com/watch?v=y8AWFf7EAc4")</f>
        <v>https://www.youtube.com/watch?v=y8AWFf7EAc4</v>
      </c>
      <c r="F96" s="27"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c r="G96" s="27" t="str">
        <f>IFERROR(__xludf.DUMMYFUNCTION("""COMPUTED_VALUE"""),":)")</f>
        <v>:)</v>
      </c>
      <c r="H96" s="22">
        <f t="shared" ref="H96:I96" si="96">LEN(D96)</f>
        <v>43</v>
      </c>
      <c r="I96" s="22">
        <f t="shared" si="96"/>
        <v>43</v>
      </c>
      <c r="J96" s="12">
        <f t="shared" si="3"/>
        <v>1</v>
      </c>
      <c r="K96" s="12" t="str">
        <f>VLOOKUP(F96,Data!$A$2:$C$12,3,false)</f>
        <v>#N/A</v>
      </c>
      <c r="L96" s="12" t="str">
        <f>IF(G96,Data!$G$4,Data!$G$5)</f>
        <v>#VALUE!</v>
      </c>
      <c r="M96" s="22" t="str">
        <f>VLOOKUP(F96,Data!$A$2:$E$12,4,false)</f>
        <v>#N/A</v>
      </c>
      <c r="N96" s="22" t="str">
        <f>VLOOKUP(F96,Data!$A$2:$E$12,5,false)</f>
        <v>#N/A</v>
      </c>
    </row>
    <row r="97" ht="15.75" customHeight="1">
      <c r="A97" s="27" t="str">
        <f>IFERROR(__xludf.DUMMYFUNCTION("""COMPUTED_VALUE"""),"T42")</f>
        <v>T42</v>
      </c>
      <c r="B97" s="27" t="str">
        <f>IFERROR(__xludf.DUMMYFUNCTION("""COMPUTED_VALUE"""),"Hallelujah")</f>
        <v>Hallelujah</v>
      </c>
      <c r="C97" s="27" t="str">
        <f>IFERROR(__xludf.DUMMYFUNCTION("""COMPUTED_VALUE"""),"(2/2)")</f>
        <v>(2/2)</v>
      </c>
      <c r="D97" s="28" t="str">
        <f>IFERROR(__xludf.DUMMYFUNCTION("""COMPUTED_VALUE"""),"https://www.youtube.com/watch?v=ttEMYvpoR-k")</f>
        <v>https://www.youtube.com/watch?v=ttEMYvpoR-k</v>
      </c>
      <c r="E97" s="28" t="str">
        <f>IFERROR(__xludf.DUMMYFUNCTION("""COMPUTED_VALUE"""),"https://www.youtube.com/watch?v=NGorjBVag0I")</f>
        <v>https://www.youtube.com/watch?v=NGorjBVag0I</v>
      </c>
      <c r="F97" s="27"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c r="G97" s="27" t="str">
        <f>IFERROR(__xludf.DUMMYFUNCTION("""COMPUTED_VALUE"""),":)")</f>
        <v>:)</v>
      </c>
      <c r="H97" s="22">
        <f t="shared" ref="H97:I97" si="97">LEN(D97)</f>
        <v>43</v>
      </c>
      <c r="I97" s="22">
        <f t="shared" si="97"/>
        <v>43</v>
      </c>
      <c r="J97" s="12">
        <f t="shared" si="3"/>
        <v>1</v>
      </c>
      <c r="K97" s="12" t="str">
        <f>VLOOKUP(F97,Data!$A$2:$C$12,3,false)</f>
        <v>#N/A</v>
      </c>
      <c r="L97" s="12" t="str">
        <f>IF(G97,Data!$G$4,Data!$G$5)</f>
        <v>#VALUE!</v>
      </c>
      <c r="M97" s="22" t="str">
        <f>VLOOKUP(F97,Data!$A$2:$E$12,4,false)</f>
        <v>#N/A</v>
      </c>
      <c r="N97" s="22" t="str">
        <f>VLOOKUP(F97,Data!$A$2:$E$12,5,false)</f>
        <v>#N/A</v>
      </c>
    </row>
    <row r="98" ht="15.75" hidden="1" customHeight="1">
      <c r="A98" s="27" t="str">
        <f>IFERROR(__xludf.DUMMYFUNCTION("""COMPUTED_VALUE"""),"T43")</f>
        <v>T43</v>
      </c>
      <c r="B98" s="27" t="str">
        <f>IFERROR(__xludf.DUMMYFUNCTION("""COMPUTED_VALUE"""),"Mindenki másképp csinálja")</f>
        <v>Mindenki másképp csinálja</v>
      </c>
      <c r="C98" s="27" t="str">
        <f>IFERROR(__xludf.DUMMYFUNCTION("""COMPUTED_VALUE"""),"(1/2)")</f>
        <v>(1/2)</v>
      </c>
      <c r="D98" s="28" t="str">
        <f>IFERROR(__xludf.DUMMYFUNCTION("""COMPUTED_VALUE"""),"https://www.youtube.com/watch?v=BR0p9uLJvJw")</f>
        <v>https://www.youtube.com/watch?v=BR0p9uLJvJw</v>
      </c>
      <c r="E98" s="28" t="str">
        <f>IFERROR(__xludf.DUMMYFUNCTION("""COMPUTED_VALUE"""),"https://www.youtube.com/watch?v=BR0p9uLJvJw")</f>
        <v>https://www.youtube.com/watch?v=BR0p9uLJvJw</v>
      </c>
      <c r="F98" s="27"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c r="G98" s="27" t="str">
        <f>IFERROR(__xludf.DUMMYFUNCTION("""COMPUTED_VALUE"""),":)")</f>
        <v>:)</v>
      </c>
      <c r="H98" s="22">
        <f t="shared" ref="H98:I98" si="98">LEN(D98)</f>
        <v>43</v>
      </c>
      <c r="I98" s="22">
        <f t="shared" si="98"/>
        <v>43</v>
      </c>
      <c r="J98" s="12">
        <f t="shared" si="3"/>
        <v>1</v>
      </c>
      <c r="K98" s="12" t="str">
        <f>VLOOKUP(F98,Data!$A$2:$C$12,3,false)</f>
        <v>#N/A</v>
      </c>
      <c r="L98" s="12" t="str">
        <f>IF(G98,Data!$G$4,Data!$G$5)</f>
        <v>#VALUE!</v>
      </c>
      <c r="M98" s="22" t="str">
        <f>VLOOKUP(F98,Data!$A$2:$E$12,4,false)</f>
        <v>#N/A</v>
      </c>
      <c r="N98" s="22" t="str">
        <f>VLOOKUP(F98,Data!$A$2:$E$12,5,false)</f>
        <v>#N/A</v>
      </c>
    </row>
    <row r="99" ht="15.75" hidden="1" customHeight="1">
      <c r="A99" s="27" t="str">
        <f>IFERROR(__xludf.DUMMYFUNCTION("""COMPUTED_VALUE"""),"T43")</f>
        <v>T43</v>
      </c>
      <c r="B99" s="27" t="str">
        <f>IFERROR(__xludf.DUMMYFUNCTION("""COMPUTED_VALUE"""),"Mindenki másképp csinálja")</f>
        <v>Mindenki másképp csinálja</v>
      </c>
      <c r="C99" s="27" t="str">
        <f>IFERROR(__xludf.DUMMYFUNCTION("""COMPUTED_VALUE"""),"(2/2)")</f>
        <v>(2/2)</v>
      </c>
      <c r="D99" s="28" t="str">
        <f>IFERROR(__xludf.DUMMYFUNCTION("""COMPUTED_VALUE"""),"https://www.youtube.com/watch?v=BR0p9uLJvJw")</f>
        <v>https://www.youtube.com/watch?v=BR0p9uLJvJw</v>
      </c>
      <c r="E99" s="28" t="str">
        <f>IFERROR(__xludf.DUMMYFUNCTION("""COMPUTED_VALUE"""),"https://www.youtube.com/watch?v=BR0p9uLJvJw")</f>
        <v>https://www.youtube.com/watch?v=BR0p9uLJvJw</v>
      </c>
      <c r="F99" s="27"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c r="G99" s="27" t="str">
        <f>IFERROR(__xludf.DUMMYFUNCTION("""COMPUTED_VALUE"""),":)")</f>
        <v>:)</v>
      </c>
      <c r="H99" s="22">
        <f t="shared" ref="H99:I99" si="99">LEN(D99)</f>
        <v>43</v>
      </c>
      <c r="I99" s="22">
        <f t="shared" si="99"/>
        <v>43</v>
      </c>
      <c r="J99" s="12">
        <f t="shared" si="3"/>
        <v>1</v>
      </c>
      <c r="K99" s="12" t="str">
        <f>VLOOKUP(F99,Data!$A$2:$C$12,3,false)</f>
        <v>#N/A</v>
      </c>
      <c r="L99" s="12" t="str">
        <f>IF(G99,Data!$G$4,Data!$G$5)</f>
        <v>#VALUE!</v>
      </c>
      <c r="M99" s="22" t="str">
        <f>VLOOKUP(F99,Data!$A$2:$E$12,4,false)</f>
        <v>#N/A</v>
      </c>
      <c r="N99" s="22" t="str">
        <f>VLOOKUP(F99,Data!$A$2:$E$12,5,false)</f>
        <v>#N/A</v>
      </c>
    </row>
    <row r="100" ht="15.75" customHeight="1">
      <c r="A100" s="27" t="str">
        <f>IFERROR(__xludf.DUMMYFUNCTION("""COMPUTED_VALUE"""),"T44")</f>
        <v>T44</v>
      </c>
      <c r="B100" s="27" t="str">
        <f>IFERROR(__xludf.DUMMYFUNCTION("""COMPUTED_VALUE"""),"Neked írom a dalt ")</f>
        <v>Neked írom a dalt </v>
      </c>
      <c r="C100" s="27"/>
      <c r="D100" s="28" t="str">
        <f>IFERROR(__xludf.DUMMYFUNCTION("""COMPUTED_VALUE"""),"https://www.youtube.com/watch?v=NaaWfWR1Yfc&amp;pp=ygUTTmVrZWQgw61yb20gYSBkYWx0IA%3D%3D")</f>
        <v>https://www.youtube.com/watch?v=NaaWfWR1Yfc&amp;pp=ygUTTmVrZWQgw61yb20gYSBkYWx0IA%3D%3D</v>
      </c>
      <c r="E100" s="28" t="str">
        <f>IFERROR(__xludf.DUMMYFUNCTION("""COMPUTED_VALUE"""),"https://www.youtube.com/watch?v=g9oln0zb8II")</f>
        <v>https://www.youtube.com/watch?v=g9oln0zb8II</v>
      </c>
      <c r="F100" s="27"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c r="G100" s="27" t="str">
        <f>IFERROR(__xludf.DUMMYFUNCTION("""COMPUTED_VALUE"""),":)")</f>
        <v>:)</v>
      </c>
      <c r="H100" s="22">
        <f t="shared" ref="H100:I100" si="100">LEN(D100)</f>
        <v>83</v>
      </c>
      <c r="I100" s="22">
        <f t="shared" si="100"/>
        <v>43</v>
      </c>
      <c r="J100" s="12">
        <f t="shared" si="3"/>
        <v>1</v>
      </c>
      <c r="K100" s="12" t="str">
        <f>VLOOKUP(F100,Data!$A$2:$C$12,3,false)</f>
        <v>#N/A</v>
      </c>
      <c r="L100" s="12" t="str">
        <f>IF(G100,Data!$G$4,Data!$G$5)</f>
        <v>#VALUE!</v>
      </c>
      <c r="M100" s="22" t="str">
        <f>VLOOKUP(F100,Data!$A$2:$E$12,4,false)</f>
        <v>#N/A</v>
      </c>
      <c r="N100" s="22" t="str">
        <f>VLOOKUP(F100,Data!$A$2:$E$12,5,false)</f>
        <v>#N/A</v>
      </c>
    </row>
    <row r="101" ht="15.75" customHeight="1">
      <c r="A101" s="27" t="str">
        <f>IFERROR(__xludf.DUMMYFUNCTION("""COMPUTED_VALUE"""),"T45")</f>
        <v>T45</v>
      </c>
      <c r="B101" s="27" t="str">
        <f>IFERROR(__xludf.DUMMYFUNCTION("""COMPUTED_VALUE"""),"Valaki mondja meg ")</f>
        <v>Valaki mondja meg </v>
      </c>
      <c r="C101" s="27"/>
      <c r="D101" s="28" t="str">
        <f>IFERROR(__xludf.DUMMYFUNCTION("""COMPUTED_VALUE"""),"https://www.youtube.com/watch?v=emQUKzGm50o&amp;pp=ygUVdmFsYWtpIG1vbmRqYSBtZWcgbGd0")</f>
        <v>https://www.youtube.com/watch?v=emQUKzGm50o&amp;pp=ygUVdmFsYWtpIG1vbmRqYSBtZWcgbGd0</v>
      </c>
      <c r="E101" s="28" t="str">
        <f>IFERROR(__xludf.DUMMYFUNCTION("""COMPUTED_VALUE"""),"https://www.youtube.com/watch?v=4-rbFNt2KUs")</f>
        <v>https://www.youtube.com/watch?v=4-rbFNt2KUs</v>
      </c>
      <c r="F101" s="27"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c r="G101" s="27" t="str">
        <f>IFERROR(__xludf.DUMMYFUNCTION("""COMPUTED_VALUE"""),":)")</f>
        <v>:)</v>
      </c>
      <c r="H101" s="22">
        <f t="shared" ref="H101:I101" si="101">LEN(D101)</f>
        <v>79</v>
      </c>
      <c r="I101" s="22">
        <f t="shared" si="101"/>
        <v>43</v>
      </c>
      <c r="J101" s="12">
        <f t="shared" si="3"/>
        <v>1</v>
      </c>
      <c r="K101" s="12" t="str">
        <f>VLOOKUP(F101,Data!$A$2:$C$12,3,false)</f>
        <v>#N/A</v>
      </c>
      <c r="L101" s="12" t="str">
        <f>IF(G101,Data!$G$4,Data!$G$5)</f>
        <v>#VALUE!</v>
      </c>
      <c r="M101" s="22" t="str">
        <f>VLOOKUP(F101,Data!$A$2:$E$12,4,false)</f>
        <v>#N/A</v>
      </c>
      <c r="N101" s="22" t="str">
        <f>VLOOKUP(F101,Data!$A$2:$E$12,5,false)</f>
        <v>#N/A</v>
      </c>
    </row>
    <row r="102" ht="15.75" customHeight="1">
      <c r="A102" s="27" t="str">
        <f>IFERROR(__xludf.DUMMYFUNCTION("""COMPUTED_VALUE"""),"T46")</f>
        <v>T46</v>
      </c>
      <c r="B102" s="27" t="str">
        <f>IFERROR(__xludf.DUMMYFUNCTION("""COMPUTED_VALUE"""),"Szociálisan érzékeny dal")</f>
        <v>Szociálisan érzékeny dal</v>
      </c>
      <c r="C102" s="27" t="str">
        <f>IFERROR(__xludf.DUMMYFUNCTION("""COMPUTED_VALUE"""),"(1/2)")</f>
        <v>(1/2)</v>
      </c>
      <c r="D102" s="28" t="str">
        <f>IFERROR(__xludf.DUMMYFUNCTION("""COMPUTED_VALUE"""),"https://www.youtube.com/watch?v=QK2fzZDdyqg")</f>
        <v>https://www.youtube.com/watch?v=QK2fzZDdyqg</v>
      </c>
      <c r="E102" s="27"/>
      <c r="F102" s="27"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c r="G102" s="27" t="str">
        <f>IFERROR(__xludf.DUMMYFUNCTION("""COMPUTED_VALUE"""),":)")</f>
        <v>:)</v>
      </c>
      <c r="H102" s="22">
        <f t="shared" ref="H102:I102" si="102">LEN(D102)</f>
        <v>43</v>
      </c>
      <c r="I102" s="22">
        <f t="shared" si="102"/>
        <v>0</v>
      </c>
      <c r="J102" s="12">
        <f t="shared" si="3"/>
        <v>1</v>
      </c>
      <c r="K102" s="12" t="str">
        <f>VLOOKUP(F102,Data!$A$2:$C$12,3,false)</f>
        <v>#N/A</v>
      </c>
      <c r="L102" s="12" t="str">
        <f>IF(G102,Data!$G$4,Data!$G$5)</f>
        <v>#VALUE!</v>
      </c>
      <c r="M102" s="22" t="str">
        <f>VLOOKUP(F102,Data!$A$2:$E$12,4,false)</f>
        <v>#N/A</v>
      </c>
      <c r="N102" s="22" t="str">
        <f>VLOOKUP(F102,Data!$A$2:$E$12,5,false)</f>
        <v>#N/A</v>
      </c>
    </row>
    <row r="103" ht="15.75" customHeight="1">
      <c r="A103" s="27" t="str">
        <f>IFERROR(__xludf.DUMMYFUNCTION("""COMPUTED_VALUE"""),"T46")</f>
        <v>T46</v>
      </c>
      <c r="B103" s="27" t="str">
        <f>IFERROR(__xludf.DUMMYFUNCTION("""COMPUTED_VALUE"""),"Szociálisan érzékeny dal")</f>
        <v>Szociálisan érzékeny dal</v>
      </c>
      <c r="C103" s="27" t="str">
        <f>IFERROR(__xludf.DUMMYFUNCTION("""COMPUTED_VALUE"""),"(2/2)")</f>
        <v>(2/2)</v>
      </c>
      <c r="D103" s="28" t="str">
        <f>IFERROR(__xludf.DUMMYFUNCTION("""COMPUTED_VALUE"""),"https://www.youtube.com/watch?v=QK2fzZDdyqg")</f>
        <v>https://www.youtube.com/watch?v=QK2fzZDdyqg</v>
      </c>
      <c r="E103" s="27"/>
      <c r="F103" s="27"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c r="G103" s="27" t="str">
        <f>IFERROR(__xludf.DUMMYFUNCTION("""COMPUTED_VALUE"""),":)")</f>
        <v>:)</v>
      </c>
      <c r="H103" s="22">
        <f t="shared" ref="H103:I103" si="103">LEN(D103)</f>
        <v>43</v>
      </c>
      <c r="I103" s="22">
        <f t="shared" si="103"/>
        <v>0</v>
      </c>
      <c r="J103" s="12">
        <f t="shared" si="3"/>
        <v>1</v>
      </c>
      <c r="K103" s="12" t="str">
        <f>VLOOKUP(F103,Data!$A$2:$C$12,3,false)</f>
        <v>#N/A</v>
      </c>
      <c r="L103" s="12" t="str">
        <f>IF(G103,Data!$G$4,Data!$G$5)</f>
        <v>#VALUE!</v>
      </c>
      <c r="M103" s="22" t="str">
        <f>VLOOKUP(F103,Data!$A$2:$E$12,4,false)</f>
        <v>#N/A</v>
      </c>
      <c r="N103" s="22" t="str">
        <f>VLOOKUP(F103,Data!$A$2:$E$12,5,false)</f>
        <v>#N/A</v>
      </c>
    </row>
    <row r="104" ht="15.75" hidden="1" customHeight="1">
      <c r="A104" s="27" t="str">
        <f>IFERROR(__xludf.DUMMYFUNCTION("""COMPUTED_VALUE"""),"T47")</f>
        <v>T47</v>
      </c>
      <c r="B104" s="27" t="str">
        <f>IFERROR(__xludf.DUMMYFUNCTION("""COMPUTED_VALUE"""),"Azért vannak a jó barátok")</f>
        <v>Azért vannak a jó barátok</v>
      </c>
      <c r="C104" s="27"/>
      <c r="D104" s="28" t="str">
        <f>IFERROR(__xludf.DUMMYFUNCTION("""COMPUTED_VALUE"""),"https://www.youtube.com/watch?v=HIKPIJeKjqA")</f>
        <v>https://www.youtube.com/watch?v=HIKPIJeKjqA</v>
      </c>
      <c r="E104" s="28" t="str">
        <f>IFERROR(__xludf.DUMMYFUNCTION("""COMPUTED_VALUE"""),"https://www.youtube.com/watch?v=gFFpM5r5io0")</f>
        <v>https://www.youtube.com/watch?v=gFFpM5r5io0</v>
      </c>
      <c r="F104" s="27"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c r="G104" s="27" t="str">
        <f>IFERROR(__xludf.DUMMYFUNCTION("""COMPUTED_VALUE"""),":)")</f>
        <v>:)</v>
      </c>
      <c r="H104" s="22">
        <f t="shared" ref="H104:I104" si="104">LEN(D104)</f>
        <v>43</v>
      </c>
      <c r="I104" s="22">
        <f t="shared" si="104"/>
        <v>43</v>
      </c>
      <c r="J104" s="12">
        <f t="shared" si="3"/>
        <v>1</v>
      </c>
      <c r="K104" s="12" t="str">
        <f>VLOOKUP(F104,Data!$A$2:$C$12,3,false)</f>
        <v>#N/A</v>
      </c>
      <c r="L104" s="12" t="str">
        <f>IF(G104,Data!$G$4,Data!$G$5)</f>
        <v>#VALUE!</v>
      </c>
      <c r="M104" s="22" t="str">
        <f>VLOOKUP(F104,Data!$A$2:$E$12,4,false)</f>
        <v>#N/A</v>
      </c>
      <c r="N104" s="22" t="str">
        <f>VLOOKUP(F104,Data!$A$2:$E$12,5,false)</f>
        <v>#N/A</v>
      </c>
    </row>
    <row r="105" ht="15.75" hidden="1" customHeight="1">
      <c r="A105" s="27" t="str">
        <f>IFERROR(__xludf.DUMMYFUNCTION("""COMPUTED_VALUE"""),"T48")</f>
        <v>T48</v>
      </c>
      <c r="B105" s="27" t="str">
        <f>IFERROR(__xludf.DUMMYFUNCTION("""COMPUTED_VALUE"""),"Egyszer véget ér ")</f>
        <v>Egyszer véget ér </v>
      </c>
      <c r="C105" s="27"/>
      <c r="D105" s="28" t="str">
        <f>IFERROR(__xludf.DUMMYFUNCTION("""COMPUTED_VALUE"""),"https://www.youtube.com/watch?v=fNdGG_knKbk")</f>
        <v>https://www.youtube.com/watch?v=fNdGG_knKbk</v>
      </c>
      <c r="E105" s="28" t="str">
        <f>IFERROR(__xludf.DUMMYFUNCTION("""COMPUTED_VALUE"""),"https://www.youtube.com/watch?v=vrsM-a1m4vE")</f>
        <v>https://www.youtube.com/watch?v=vrsM-a1m4vE</v>
      </c>
      <c r="F105" s="27"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c r="G105" s="27" t="str">
        <f>IFERROR(__xludf.DUMMYFUNCTION("""COMPUTED_VALUE"""),":)")</f>
        <v>:)</v>
      </c>
      <c r="H105" s="22">
        <f t="shared" ref="H105:I105" si="105">LEN(D105)</f>
        <v>43</v>
      </c>
      <c r="I105" s="22">
        <f t="shared" si="105"/>
        <v>43</v>
      </c>
      <c r="J105" s="12">
        <f t="shared" si="3"/>
        <v>1</v>
      </c>
      <c r="K105" s="12" t="str">
        <f>VLOOKUP(F105,Data!$A$2:$C$12,3,false)</f>
        <v>#N/A</v>
      </c>
      <c r="L105" s="12" t="str">
        <f>IF(G105,Data!$G$4,Data!$G$5)</f>
        <v>#VALUE!</v>
      </c>
      <c r="M105" s="22" t="str">
        <f>VLOOKUP(F105,Data!$A$2:$E$12,4,false)</f>
        <v>#N/A</v>
      </c>
      <c r="N105" s="22" t="str">
        <f>VLOOKUP(F105,Data!$A$2:$E$12,5,false)</f>
        <v>#N/A</v>
      </c>
    </row>
    <row r="106" ht="15.75" hidden="1" customHeight="1">
      <c r="A106" s="27" t="str">
        <f>IFERROR(__xludf.DUMMYFUNCTION("""COMPUTED_VALUE"""),"T49")</f>
        <v>T49</v>
      </c>
      <c r="B106" s="27" t="str">
        <f>IFERROR(__xludf.DUMMYFUNCTION("""COMPUTED_VALUE"""),"Most élsz")</f>
        <v>Most élsz</v>
      </c>
      <c r="C106" s="27" t="str">
        <f>IFERROR(__xludf.DUMMYFUNCTION("""COMPUTED_VALUE"""),"(1/2)")</f>
        <v>(1/2)</v>
      </c>
      <c r="D106" s="28" t="str">
        <f>IFERROR(__xludf.DUMMYFUNCTION("""COMPUTED_VALUE"""),"https://www.youtube.com/watch?v=zexIfl7h88Q")</f>
        <v>https://www.youtube.com/watch?v=zexIfl7h88Q</v>
      </c>
      <c r="E106" s="28" t="str">
        <f>IFERROR(__xludf.DUMMYFUNCTION("""COMPUTED_VALUE"""),"https://www.youtube.com/watch?v=0bx7blXygrc")</f>
        <v>https://www.youtube.com/watch?v=0bx7blXygrc</v>
      </c>
      <c r="F106" s="27"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c r="G106" s="27" t="str">
        <f>IFERROR(__xludf.DUMMYFUNCTION("""COMPUTED_VALUE"""),":)")</f>
        <v>:)</v>
      </c>
      <c r="H106" s="22">
        <f t="shared" ref="H106:I106" si="106">LEN(D106)</f>
        <v>43</v>
      </c>
      <c r="I106" s="22">
        <f t="shared" si="106"/>
        <v>43</v>
      </c>
      <c r="J106" s="12">
        <f t="shared" si="3"/>
        <v>1</v>
      </c>
      <c r="K106" s="12" t="str">
        <f>VLOOKUP(F106,Data!$A$2:$C$12,3,false)</f>
        <v>#N/A</v>
      </c>
      <c r="L106" s="12" t="str">
        <f>IF(G106,Data!$G$4,Data!$G$5)</f>
        <v>#VALUE!</v>
      </c>
      <c r="M106" s="22" t="str">
        <f>VLOOKUP(F106,Data!$A$2:$E$12,4,false)</f>
        <v>#N/A</v>
      </c>
      <c r="N106" s="22" t="str">
        <f>VLOOKUP(F106,Data!$A$2:$E$12,5,false)</f>
        <v>#N/A</v>
      </c>
    </row>
    <row r="107" ht="15.75" hidden="1" customHeight="1">
      <c r="A107" s="27" t="str">
        <f>IFERROR(__xludf.DUMMYFUNCTION("""COMPUTED_VALUE"""),"T49")</f>
        <v>T49</v>
      </c>
      <c r="B107" s="27" t="str">
        <f>IFERROR(__xludf.DUMMYFUNCTION("""COMPUTED_VALUE"""),"Most élsz")</f>
        <v>Most élsz</v>
      </c>
      <c r="C107" s="27" t="str">
        <f>IFERROR(__xludf.DUMMYFUNCTION("""COMPUTED_VALUE"""),"(2/2)")</f>
        <v>(2/2)</v>
      </c>
      <c r="D107" s="28" t="str">
        <f>IFERROR(__xludf.DUMMYFUNCTION("""COMPUTED_VALUE"""),"https://www.youtube.com/watch?v=zexIfl7h88Q")</f>
        <v>https://www.youtube.com/watch?v=zexIfl7h88Q</v>
      </c>
      <c r="E107" s="28" t="str">
        <f>IFERROR(__xludf.DUMMYFUNCTION("""COMPUTED_VALUE"""),"https://www.youtube.com/watch?v=0bx7blXygrc")</f>
        <v>https://www.youtube.com/watch?v=0bx7blXygrc</v>
      </c>
      <c r="F107" s="27"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c r="G107" s="27" t="str">
        <f>IFERROR(__xludf.DUMMYFUNCTION("""COMPUTED_VALUE"""),":)")</f>
        <v>:)</v>
      </c>
      <c r="H107" s="22">
        <f t="shared" ref="H107:I107" si="107">LEN(D107)</f>
        <v>43</v>
      </c>
      <c r="I107" s="22">
        <f t="shared" si="107"/>
        <v>43</v>
      </c>
      <c r="J107" s="12">
        <f t="shared" si="3"/>
        <v>1</v>
      </c>
      <c r="K107" s="12" t="str">
        <f>VLOOKUP(F107,Data!$A$2:$C$12,3,false)</f>
        <v>#N/A</v>
      </c>
      <c r="L107" s="12" t="str">
        <f>IF(G107,Data!$G$4,Data!$G$5)</f>
        <v>#VALUE!</v>
      </c>
      <c r="M107" s="22" t="str">
        <f>VLOOKUP(F107,Data!$A$2:$E$12,4,false)</f>
        <v>#N/A</v>
      </c>
      <c r="N107" s="22" t="str">
        <f>VLOOKUP(F107,Data!$A$2:$E$12,5,false)</f>
        <v>#N/A</v>
      </c>
    </row>
    <row r="108" ht="15.75" hidden="1" customHeight="1">
      <c r="A108" s="27" t="str">
        <f>IFERROR(__xludf.DUMMYFUNCTION("""COMPUTED_VALUE"""),"T50")</f>
        <v>T50</v>
      </c>
      <c r="B108" s="27" t="str">
        <f>IFERROR(__xludf.DUMMYFUNCTION("""COMPUTED_VALUE"""),"Csúzli dal")</f>
        <v>Csúzli dal</v>
      </c>
      <c r="C108" s="27" t="str">
        <f>IFERROR(__xludf.DUMMYFUNCTION("""COMPUTED_VALUE"""),"(1/2)")</f>
        <v>(1/2)</v>
      </c>
      <c r="D108" s="28" t="str">
        <f>IFERROR(__xludf.DUMMYFUNCTION("""COMPUTED_VALUE"""),"https://www.youtube.com/watch?v=6MVoEHFwqmw")</f>
        <v>https://www.youtube.com/watch?v=6MVoEHFwqmw</v>
      </c>
      <c r="E108" s="28" t="str">
        <f>IFERROR(__xludf.DUMMYFUNCTION("""COMPUTED_VALUE"""),"https://www.youtube.com/watch?v=BuJBNKVqQzs")</f>
        <v>https://www.youtube.com/watch?v=BuJBNKVqQzs</v>
      </c>
      <c r="F108" s="27"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c r="G108" s="27" t="str">
        <f>IFERROR(__xludf.DUMMYFUNCTION("""COMPUTED_VALUE"""),":)")</f>
        <v>:)</v>
      </c>
      <c r="H108" s="22">
        <f t="shared" ref="H108:I108" si="108">LEN(D108)</f>
        <v>43</v>
      </c>
      <c r="I108" s="22">
        <f t="shared" si="108"/>
        <v>43</v>
      </c>
      <c r="J108" s="12">
        <f t="shared" si="3"/>
        <v>1</v>
      </c>
      <c r="K108" s="12" t="str">
        <f>VLOOKUP(F108,Data!$A$2:$C$12,3,false)</f>
        <v>#N/A</v>
      </c>
      <c r="L108" s="12" t="str">
        <f>IF(G108,Data!$G$4,Data!$G$5)</f>
        <v>#VALUE!</v>
      </c>
      <c r="M108" s="22" t="str">
        <f>VLOOKUP(F108,Data!$A$2:$E$12,4,false)</f>
        <v>#N/A</v>
      </c>
      <c r="N108" s="22" t="str">
        <f>VLOOKUP(F108,Data!$A$2:$E$12,5,false)</f>
        <v>#N/A</v>
      </c>
    </row>
    <row r="109" ht="15.75" customHeight="1">
      <c r="A109" s="27" t="str">
        <f>IFERROR(__xludf.DUMMYFUNCTION("""COMPUTED_VALUE"""),"T50")</f>
        <v>T50</v>
      </c>
      <c r="B109" s="27" t="str">
        <f>IFERROR(__xludf.DUMMYFUNCTION("""COMPUTED_VALUE"""),"Csúzli dal")</f>
        <v>Csúzli dal</v>
      </c>
      <c r="C109" s="27" t="str">
        <f>IFERROR(__xludf.DUMMYFUNCTION("""COMPUTED_VALUE"""),"(2/2)")</f>
        <v>(2/2)</v>
      </c>
      <c r="D109" s="28" t="str">
        <f>IFERROR(__xludf.DUMMYFUNCTION("""COMPUTED_VALUE"""),"https://www.youtube.com/watch?v=6MVoEHFwqmw")</f>
        <v>https://www.youtube.com/watch?v=6MVoEHFwqmw</v>
      </c>
      <c r="E109" s="28" t="str">
        <f>IFERROR(__xludf.DUMMYFUNCTION("""COMPUTED_VALUE"""),"https://www.youtube.com/watch?v=G-i-oYHYBT0")</f>
        <v>https://www.youtube.com/watch?v=G-i-oYHYBT0</v>
      </c>
      <c r="F109" s="27"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c r="G109" s="27" t="str">
        <f>IFERROR(__xludf.DUMMYFUNCTION("""COMPUTED_VALUE"""),":)")</f>
        <v>:)</v>
      </c>
      <c r="H109" s="22">
        <f t="shared" ref="H109:I109" si="109">LEN(D109)</f>
        <v>43</v>
      </c>
      <c r="I109" s="22">
        <f t="shared" si="109"/>
        <v>43</v>
      </c>
      <c r="J109" s="12">
        <f t="shared" si="3"/>
        <v>1</v>
      </c>
      <c r="K109" s="12" t="str">
        <f>VLOOKUP(F109,Data!$A$2:$C$12,3,false)</f>
        <v>#N/A</v>
      </c>
      <c r="L109" s="12" t="str">
        <f>IF(G109,Data!$G$4,Data!$G$5)</f>
        <v>#VALUE!</v>
      </c>
      <c r="M109" s="22" t="str">
        <f>VLOOKUP(F109,Data!$A$2:$E$12,4,false)</f>
        <v>#N/A</v>
      </c>
      <c r="N109" s="22" t="str">
        <f>VLOOKUP(F109,Data!$A$2:$E$12,5,false)</f>
        <v>#N/A</v>
      </c>
    </row>
    <row r="110" ht="15.75" hidden="1" customHeight="1">
      <c r="A110" s="27" t="str">
        <f>IFERROR(__xludf.DUMMYFUNCTION("""COMPUTED_VALUE"""),"T51")</f>
        <v>T51</v>
      </c>
      <c r="B110" s="27" t="str">
        <f>IFERROR(__xludf.DUMMYFUNCTION("""COMPUTED_VALUE"""),"Legyetek jók, ha tudtok!")</f>
        <v>Legyetek jók, ha tudtok!</v>
      </c>
      <c r="C110" s="27" t="str">
        <f>IFERROR(__xludf.DUMMYFUNCTION("""COMPUTED_VALUE"""),"(1/2)")</f>
        <v>(1/2)</v>
      </c>
      <c r="D110" s="28" t="str">
        <f>IFERROR(__xludf.DUMMYFUNCTION("""COMPUTED_VALUE"""),"https://www.youtube.com/watch?v=TseVKQWTHZo")</f>
        <v>https://www.youtube.com/watch?v=TseVKQWTHZo</v>
      </c>
      <c r="E110" s="28" t="str">
        <f>IFERROR(__xludf.DUMMYFUNCTION("""COMPUTED_VALUE"""),"https://www.youtube.com/watch?v=0fm-aKRRCm0")</f>
        <v>https://www.youtube.com/watch?v=0fm-aKRRCm0</v>
      </c>
      <c r="F110" s="27"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c r="G110" s="27" t="str">
        <f>IFERROR(__xludf.DUMMYFUNCTION("""COMPUTED_VALUE"""),":)")</f>
        <v>:)</v>
      </c>
      <c r="H110" s="22">
        <f t="shared" ref="H110:I110" si="110">LEN(D110)</f>
        <v>43</v>
      </c>
      <c r="I110" s="22">
        <f t="shared" si="110"/>
        <v>43</v>
      </c>
      <c r="J110" s="12">
        <f t="shared" si="3"/>
        <v>1</v>
      </c>
      <c r="K110" s="12" t="str">
        <f>VLOOKUP(F110,Data!$A$2:$C$12,3,false)</f>
        <v>#N/A</v>
      </c>
      <c r="L110" s="12" t="str">
        <f>IF(G110,Data!$G$4,Data!$G$5)</f>
        <v>#VALUE!</v>
      </c>
      <c r="M110" s="22" t="str">
        <f>VLOOKUP(F110,Data!$A$2:$E$12,4,false)</f>
        <v>#N/A</v>
      </c>
      <c r="N110" s="22" t="str">
        <f>VLOOKUP(F110,Data!$A$2:$E$12,5,false)</f>
        <v>#N/A</v>
      </c>
    </row>
    <row r="111" ht="15.75" hidden="1" customHeight="1">
      <c r="A111" s="27" t="str">
        <f>IFERROR(__xludf.DUMMYFUNCTION("""COMPUTED_VALUE"""),"T51")</f>
        <v>T51</v>
      </c>
      <c r="B111" s="27" t="str">
        <f>IFERROR(__xludf.DUMMYFUNCTION("""COMPUTED_VALUE"""),"Legyetek jók, ha tudtok!")</f>
        <v>Legyetek jók, ha tudtok!</v>
      </c>
      <c r="C111" s="27" t="str">
        <f>IFERROR(__xludf.DUMMYFUNCTION("""COMPUTED_VALUE"""),"(2/2)")</f>
        <v>(2/2)</v>
      </c>
      <c r="D111" s="28" t="str">
        <f>IFERROR(__xludf.DUMMYFUNCTION("""COMPUTED_VALUE"""),"https://www.youtube.com/watch?v=TseVKQWTHZo")</f>
        <v>https://www.youtube.com/watch?v=TseVKQWTHZo</v>
      </c>
      <c r="E111" s="28" t="str">
        <f>IFERROR(__xludf.DUMMYFUNCTION("""COMPUTED_VALUE"""),"https://www.youtube.com/watch?v=9WYN8Eq0Omc")</f>
        <v>https://www.youtube.com/watch?v=9WYN8Eq0Omc</v>
      </c>
      <c r="F111" s="27"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c r="G111" s="27" t="str">
        <f>IFERROR(__xludf.DUMMYFUNCTION("""COMPUTED_VALUE"""),":)")</f>
        <v>:)</v>
      </c>
      <c r="H111" s="22">
        <f t="shared" ref="H111:I111" si="111">LEN(D111)</f>
        <v>43</v>
      </c>
      <c r="I111" s="22">
        <f t="shared" si="111"/>
        <v>43</v>
      </c>
      <c r="J111" s="12">
        <f t="shared" si="3"/>
        <v>1</v>
      </c>
      <c r="K111" s="12" t="str">
        <f>VLOOKUP(F111,Data!$A$2:$C$12,3,false)</f>
        <v>#N/A</v>
      </c>
      <c r="L111" s="12" t="str">
        <f>IF(G111,Data!$G$4,Data!$G$5)</f>
        <v>#VALUE!</v>
      </c>
      <c r="M111" s="22" t="str">
        <f>VLOOKUP(F111,Data!$A$2:$E$12,4,false)</f>
        <v>#N/A</v>
      </c>
      <c r="N111" s="22" t="str">
        <f>VLOOKUP(F111,Data!$A$2:$E$12,5,false)</f>
        <v>#N/A</v>
      </c>
    </row>
    <row r="112" ht="15.75" hidden="1" customHeight="1">
      <c r="A112" s="27" t="str">
        <f>IFERROR(__xludf.DUMMYFUNCTION("""COMPUTED_VALUE"""),"T52")</f>
        <v>T52</v>
      </c>
      <c r="B112" s="27" t="str">
        <f>IFERROR(__xludf.DUMMYFUNCTION("""COMPUTED_VALUE"""),"Jó nekem")</f>
        <v>Jó nekem</v>
      </c>
      <c r="C112" s="27" t="str">
        <f>IFERROR(__xludf.DUMMYFUNCTION("""COMPUTED_VALUE"""),"(1/2)")</f>
        <v>(1/2)</v>
      </c>
      <c r="D112" s="28" t="str">
        <f>IFERROR(__xludf.DUMMYFUNCTION("""COMPUTED_VALUE"""),"https://www.youtube.com/watch?v=bkDgNkYmKWA")</f>
        <v>https://www.youtube.com/watch?v=bkDgNkYmKWA</v>
      </c>
      <c r="E112" s="28" t="str">
        <f>IFERROR(__xludf.DUMMYFUNCTION("""COMPUTED_VALUE"""),"https://www.youtube.com/watch?v=RMFR9ZJZdrs")</f>
        <v>https://www.youtube.com/watch?v=RMFR9ZJZdrs</v>
      </c>
      <c r="F112" s="27"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c r="G112" s="27" t="str">
        <f>IFERROR(__xludf.DUMMYFUNCTION("""COMPUTED_VALUE"""),":)")</f>
        <v>:)</v>
      </c>
      <c r="H112" s="22">
        <f t="shared" ref="H112:I112" si="112">LEN(D112)</f>
        <v>43</v>
      </c>
      <c r="I112" s="22">
        <f t="shared" si="112"/>
        <v>43</v>
      </c>
      <c r="J112" s="12">
        <f t="shared" si="3"/>
        <v>1</v>
      </c>
      <c r="K112" s="12" t="str">
        <f>VLOOKUP(F112,Data!$A$2:$C$12,3,false)</f>
        <v>#N/A</v>
      </c>
      <c r="L112" s="12" t="str">
        <f>IF(G112,Data!$G$4,Data!$G$5)</f>
        <v>#VALUE!</v>
      </c>
      <c r="M112" s="22" t="str">
        <f>VLOOKUP(F112,Data!$A$2:$E$12,4,false)</f>
        <v>#N/A</v>
      </c>
      <c r="N112" s="22" t="str">
        <f>VLOOKUP(F112,Data!$A$2:$E$12,5,false)</f>
        <v>#N/A</v>
      </c>
    </row>
    <row r="113" ht="15.75" hidden="1" customHeight="1">
      <c r="A113" s="27" t="str">
        <f>IFERROR(__xludf.DUMMYFUNCTION("""COMPUTED_VALUE"""),"T52")</f>
        <v>T52</v>
      </c>
      <c r="B113" s="27" t="str">
        <f>IFERROR(__xludf.DUMMYFUNCTION("""COMPUTED_VALUE"""),"Jó nekem")</f>
        <v>Jó nekem</v>
      </c>
      <c r="C113" s="27" t="str">
        <f>IFERROR(__xludf.DUMMYFUNCTION("""COMPUTED_VALUE"""),"(2/2)")</f>
        <v>(2/2)</v>
      </c>
      <c r="D113" s="28" t="str">
        <f>IFERROR(__xludf.DUMMYFUNCTION("""COMPUTED_VALUE"""),"https://www.youtube.com/watch?v=bkDgNkYmKWA")</f>
        <v>https://www.youtube.com/watch?v=bkDgNkYmKWA</v>
      </c>
      <c r="E113" s="28" t="str">
        <f>IFERROR(__xludf.DUMMYFUNCTION("""COMPUTED_VALUE"""),"https://www.youtube.com/watch?v=RMFR9ZJZdrs")</f>
        <v>https://www.youtube.com/watch?v=RMFR9ZJZdrs</v>
      </c>
      <c r="F113" s="27"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G113" s="27" t="str">
        <f>IFERROR(__xludf.DUMMYFUNCTION("""COMPUTED_VALUE"""),":)")</f>
        <v>:)</v>
      </c>
      <c r="H113" s="22">
        <f t="shared" ref="H113:I113" si="113">LEN(D113)</f>
        <v>43</v>
      </c>
      <c r="I113" s="22">
        <f t="shared" si="113"/>
        <v>43</v>
      </c>
      <c r="J113" s="12">
        <f t="shared" si="3"/>
        <v>1</v>
      </c>
      <c r="K113" s="12" t="str">
        <f>VLOOKUP(F113,Data!$A$2:$C$12,3,false)</f>
        <v>#N/A</v>
      </c>
      <c r="L113" s="12" t="str">
        <f>IF(G113,Data!$G$4,Data!$G$5)</f>
        <v>#VALUE!</v>
      </c>
      <c r="M113" s="22" t="str">
        <f>VLOOKUP(F113,Data!$A$2:$E$12,4,false)</f>
        <v>#N/A</v>
      </c>
      <c r="N113" s="22" t="str">
        <f>VLOOKUP(F113,Data!$A$2:$E$12,5,false)</f>
        <v>#N/A</v>
      </c>
    </row>
    <row r="114" ht="15.75" hidden="1" customHeight="1">
      <c r="A114" s="27" t="str">
        <f>IFERROR(__xludf.DUMMYFUNCTION("""COMPUTED_VALUE"""),"T53")</f>
        <v>T53</v>
      </c>
      <c r="B114" s="27" t="str">
        <f>IFERROR(__xludf.DUMMYFUNCTION("""COMPUTED_VALUE"""),"Bella ciao")</f>
        <v>Bella ciao</v>
      </c>
      <c r="C114" s="27" t="str">
        <f>IFERROR(__xludf.DUMMYFUNCTION("""COMPUTED_VALUE"""),"(1/2)")</f>
        <v>(1/2)</v>
      </c>
      <c r="D114" s="28" t="str">
        <f>IFERROR(__xludf.DUMMYFUNCTION("""COMPUTED_VALUE"""),"https://www.youtube.com/watch?v=Ugd7vTIwH74")</f>
        <v>https://www.youtube.com/watch?v=Ugd7vTIwH74</v>
      </c>
      <c r="E114" s="28" t="str">
        <f>IFERROR(__xludf.DUMMYFUNCTION("""COMPUTED_VALUE"""),"https://www.youtube.com/watch?v=A1dkZrpZgjY")</f>
        <v>https://www.youtube.com/watch?v=A1dkZrpZgjY</v>
      </c>
      <c r="F114" s="27"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v>
      </c>
      <c r="G114" s="27" t="str">
        <f>IFERROR(__xludf.DUMMYFUNCTION("""COMPUTED_VALUE"""),":)")</f>
        <v>:)</v>
      </c>
      <c r="H114" s="22">
        <f t="shared" ref="H114:I114" si="114">LEN(D114)</f>
        <v>43</v>
      </c>
      <c r="I114" s="22">
        <f t="shared" si="114"/>
        <v>43</v>
      </c>
      <c r="J114" s="12">
        <f t="shared" si="3"/>
        <v>1</v>
      </c>
      <c r="K114" s="12" t="str">
        <f>VLOOKUP(F114,Data!$A$2:$C$12,3,false)</f>
        <v>#N/A</v>
      </c>
      <c r="L114" s="12" t="str">
        <f>IF(G114,Data!$G$4,Data!$G$5)</f>
        <v>#VALUE!</v>
      </c>
      <c r="M114" s="22" t="str">
        <f>VLOOKUP(F114,Data!$A$2:$E$12,4,false)</f>
        <v>#N/A</v>
      </c>
      <c r="N114" s="22" t="str">
        <f>VLOOKUP(F114,Data!$A$2:$E$12,5,false)</f>
        <v>#N/A</v>
      </c>
    </row>
    <row r="115" ht="15.75" hidden="1" customHeight="1">
      <c r="A115" s="27" t="str">
        <f>IFERROR(__xludf.DUMMYFUNCTION("""COMPUTED_VALUE"""),"T53")</f>
        <v>T53</v>
      </c>
      <c r="B115" s="27" t="str">
        <f>IFERROR(__xludf.DUMMYFUNCTION("""COMPUTED_VALUE"""),"Bella ciao")</f>
        <v>Bella ciao</v>
      </c>
      <c r="C115" s="27" t="str">
        <f>IFERROR(__xludf.DUMMYFUNCTION("""COMPUTED_VALUE"""),"(2/2)")</f>
        <v>(2/2)</v>
      </c>
      <c r="D115" s="28" t="str">
        <f>IFERROR(__xludf.DUMMYFUNCTION("""COMPUTED_VALUE"""),"https://www.youtube.com/watch?v=Ugd7vTIwH74")</f>
        <v>https://www.youtube.com/watch?v=Ugd7vTIwH74</v>
      </c>
      <c r="E115" s="28" t="str">
        <f>IFERROR(__xludf.DUMMYFUNCTION("""COMPUTED_VALUE"""),"https://www.youtube.com/watch?v=A1dkZrpZgjY")</f>
        <v>https://www.youtube.com/watch?v=A1dkZrpZgjY</v>
      </c>
      <c r="F115" s="27" t="str">
        <f>IFERROR(__xludf.DUMMYFUNCTION("""COMPUTED_VALUE"""),"Dm     
A hegyvidéken temess el engem,
         F                      A7          
Ó bella ciao, bella ciao, bella ciao, ciao, ciao,
   C7          F  
A hegyvidéken temess el engem,
        A7      Dm
Legyen virág a síromon.
Dm     
Az ő virága, a part"&amp;"izáné,
         F                      A7          
Ó bella ciao, bella ciao, bella ciao, ciao, ciao,
   C7          F  
Az ő virága, a partizáné,
        A7         Dm
Ki a szabadságért halt meg.")</f>
        <v>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c r="G115" s="27" t="str">
        <f>IFERROR(__xludf.DUMMYFUNCTION("""COMPUTED_VALUE"""),":)")</f>
        <v>:)</v>
      </c>
      <c r="H115" s="22">
        <f t="shared" ref="H115:I115" si="115">LEN(D115)</f>
        <v>43</v>
      </c>
      <c r="I115" s="22">
        <f t="shared" si="115"/>
        <v>43</v>
      </c>
      <c r="J115" s="12">
        <f t="shared" si="3"/>
        <v>1</v>
      </c>
      <c r="K115" s="12" t="str">
        <f>VLOOKUP(F115,Data!$A$2:$C$12,3,false)</f>
        <v>#N/A</v>
      </c>
      <c r="L115" s="12" t="str">
        <f>IF(G115,Data!$G$4,Data!$G$5)</f>
        <v>#VALUE!</v>
      </c>
      <c r="M115" s="22" t="str">
        <f>VLOOKUP(F115,Data!$A$2:$E$12,4,false)</f>
        <v>#N/A</v>
      </c>
      <c r="N115" s="22" t="str">
        <f>VLOOKUP(F115,Data!$A$2:$E$12,5,false)</f>
        <v>#N/A</v>
      </c>
    </row>
    <row r="116" ht="15.75" customHeight="1">
      <c r="A116" s="27" t="str">
        <f>IFERROR(__xludf.DUMMYFUNCTION("""COMPUTED_VALUE"""),"T54")</f>
        <v>T54</v>
      </c>
      <c r="B116" s="27" t="str">
        <f>IFERROR(__xludf.DUMMYFUNCTION("""COMPUTED_VALUE"""),"Petróleumlámpa ")</f>
        <v>Petróleumlámpa </v>
      </c>
      <c r="C116" s="27"/>
      <c r="D116" s="28" t="str">
        <f>IFERROR(__xludf.DUMMYFUNCTION("""COMPUTED_VALUE"""),"https://www.youtube.com/watch?v=YL6ya7FITz8")</f>
        <v>https://www.youtube.com/watch?v=YL6ya7FITz8</v>
      </c>
      <c r="E116" s="28" t="str">
        <f>IFERROR(__xludf.DUMMYFUNCTION("""COMPUTED_VALUE"""),"https://www.youtube.com/watch?v=ya3amChrev0")</f>
        <v>https://www.youtube.com/watch?v=ya3amChrev0</v>
      </c>
      <c r="F116" s="27"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c r="G116" s="27" t="str">
        <f>IFERROR(__xludf.DUMMYFUNCTION("""COMPUTED_VALUE"""),":)")</f>
        <v>:)</v>
      </c>
      <c r="H116" s="22">
        <f t="shared" ref="H116:I116" si="116">LEN(D116)</f>
        <v>43</v>
      </c>
      <c r="I116" s="22">
        <f t="shared" si="116"/>
        <v>43</v>
      </c>
      <c r="J116" s="12">
        <f t="shared" si="3"/>
        <v>1</v>
      </c>
      <c r="K116" s="12" t="str">
        <f>VLOOKUP(F116,Data!$A$2:$C$12,3,false)</f>
        <v>#N/A</v>
      </c>
      <c r="L116" s="12" t="str">
        <f>IF(G116,Data!$G$4,Data!$G$5)</f>
        <v>#VALUE!</v>
      </c>
      <c r="M116" s="22" t="str">
        <f>VLOOKUP(F116,Data!$A$2:$E$12,4,false)</f>
        <v>#N/A</v>
      </c>
      <c r="N116" s="22" t="str">
        <f>VLOOKUP(F116,Data!$A$2:$E$12,5,false)</f>
        <v>#N/A</v>
      </c>
    </row>
    <row r="117" ht="15.75" hidden="1" customHeight="1">
      <c r="A117" s="27" t="str">
        <f>IFERROR(__xludf.DUMMYFUNCTION("""COMPUTED_VALUE"""),"T55")</f>
        <v>T55</v>
      </c>
      <c r="B117" s="27" t="str">
        <f>IFERROR(__xludf.DUMMYFUNCTION("""COMPUTED_VALUE"""),"Szása")</f>
        <v>Szása</v>
      </c>
      <c r="C117" s="27"/>
      <c r="D117" s="28" t="str">
        <f>IFERROR(__xludf.DUMMYFUNCTION("""COMPUTED_VALUE"""),"https://www.youtube.com/watch?v=pnRlWRaizZk")</f>
        <v>https://www.youtube.com/watch?v=pnRlWRaizZk</v>
      </c>
      <c r="E117" s="28" t="str">
        <f>IFERROR(__xludf.DUMMYFUNCTION("""COMPUTED_VALUE"""),"https://www.youtube.com/watch?v=pnRlWRaizZk")</f>
        <v>https://www.youtube.com/watch?v=pnRlWRaizZk</v>
      </c>
      <c r="F117" s="27"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c r="G117" s="27" t="str">
        <f>IFERROR(__xludf.DUMMYFUNCTION("""COMPUTED_VALUE"""),":)")</f>
        <v>:)</v>
      </c>
      <c r="H117" s="22">
        <f t="shared" ref="H117:I117" si="117">LEN(D117)</f>
        <v>43</v>
      </c>
      <c r="I117" s="22">
        <f t="shared" si="117"/>
        <v>43</v>
      </c>
      <c r="J117" s="12">
        <f t="shared" si="3"/>
        <v>1</v>
      </c>
      <c r="K117" s="12" t="str">
        <f>VLOOKUP(F117,Data!$A$2:$C$12,3,false)</f>
        <v>#N/A</v>
      </c>
      <c r="L117" s="12" t="str">
        <f>IF(G117,Data!$G$4,Data!$G$5)</f>
        <v>#VALUE!</v>
      </c>
      <c r="M117" s="22" t="str">
        <f>VLOOKUP(F117,Data!$A$2:$E$12,4,false)</f>
        <v>#N/A</v>
      </c>
      <c r="N117" s="22" t="str">
        <f>VLOOKUP(F117,Data!$A$2:$E$12,5,false)</f>
        <v>#N/A</v>
      </c>
    </row>
    <row r="118" ht="15.75" hidden="1" customHeight="1">
      <c r="A118" s="27" t="str">
        <f>IFERROR(__xludf.DUMMYFUNCTION("""COMPUTED_VALUE"""),"T56")</f>
        <v>T56</v>
      </c>
      <c r="B118" s="27" t="str">
        <f>IFERROR(__xludf.DUMMYFUNCTION("""COMPUTED_VALUE"""),"A börtön ablakában")</f>
        <v>A börtön ablakában</v>
      </c>
      <c r="C118" s="27"/>
      <c r="D118" s="28" t="str">
        <f>IFERROR(__xludf.DUMMYFUNCTION("""COMPUTED_VALUE"""),"https://www.youtube.com/watch?v=_HKFnV9oSyM")</f>
        <v>https://www.youtube.com/watch?v=_HKFnV9oSyM</v>
      </c>
      <c r="E118" s="27" t="str">
        <f>IFERROR(__xludf.DUMMYFUNCTION("""COMPUTED_VALUE"""),"-")</f>
        <v>-</v>
      </c>
      <c r="F118" s="27"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c r="G118" s="27" t="str">
        <f>IFERROR(__xludf.DUMMYFUNCTION("""COMPUTED_VALUE"""),":)")</f>
        <v>:)</v>
      </c>
      <c r="H118" s="22">
        <f t="shared" ref="H118:I118" si="118">LEN(D118)</f>
        <v>43</v>
      </c>
      <c r="I118" s="22">
        <f t="shared" si="118"/>
        <v>1</v>
      </c>
      <c r="J118" s="12">
        <f t="shared" si="3"/>
        <v>1</v>
      </c>
      <c r="K118" s="12" t="str">
        <f>VLOOKUP(F118,Data!$A$2:$C$12,3,false)</f>
        <v>#N/A</v>
      </c>
      <c r="L118" s="12" t="str">
        <f>IF(G118,Data!$G$4,Data!$G$5)</f>
        <v>#VALUE!</v>
      </c>
      <c r="M118" s="22" t="str">
        <f>VLOOKUP(F118,Data!$A$2:$E$12,4,false)</f>
        <v>#N/A</v>
      </c>
      <c r="N118" s="22" t="str">
        <f>VLOOKUP(F118,Data!$A$2:$E$12,5,false)</f>
        <v>#N/A</v>
      </c>
    </row>
    <row r="119" ht="15.75" hidden="1" customHeight="1">
      <c r="A119" s="27" t="str">
        <f>IFERROR(__xludf.DUMMYFUNCTION("""COMPUTED_VALUE"""),"T57")</f>
        <v>T57</v>
      </c>
      <c r="B119" s="27" t="str">
        <f>IFERROR(__xludf.DUMMYFUNCTION("""COMPUTED_VALUE"""),"Szállj fel magasra ")</f>
        <v>Szállj fel magasra </v>
      </c>
      <c r="C119" s="27"/>
      <c r="D119" s="28" t="str">
        <f>IFERROR(__xludf.DUMMYFUNCTION("""COMPUTED_VALUE"""),"https://www.youtube.com/watch?v=GnW6BIBFyME")</f>
        <v>https://www.youtube.com/watch?v=GnW6BIBFyME</v>
      </c>
      <c r="E119" s="28" t="str">
        <f>IFERROR(__xludf.DUMMYFUNCTION("""COMPUTED_VALUE"""),"https://www.youtube.com/watch?v=TfNzil_7wrU")</f>
        <v>https://www.youtube.com/watch?v=TfNzil_7wrU</v>
      </c>
      <c r="F119" s="27"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c r="G119" s="27" t="str">
        <f>IFERROR(__xludf.DUMMYFUNCTION("""COMPUTED_VALUE"""),":)")</f>
        <v>:)</v>
      </c>
      <c r="H119" s="22">
        <f t="shared" ref="H119:I119" si="119">LEN(D119)</f>
        <v>43</v>
      </c>
      <c r="I119" s="22">
        <f t="shared" si="119"/>
        <v>43</v>
      </c>
      <c r="J119" s="12">
        <f t="shared" si="3"/>
        <v>1</v>
      </c>
      <c r="K119" s="12" t="str">
        <f>VLOOKUP(F119,Data!$A$2:$C$12,3,false)</f>
        <v>#N/A</v>
      </c>
      <c r="L119" s="12" t="str">
        <f>IF(G119,Data!$G$4,Data!$G$5)</f>
        <v>#VALUE!</v>
      </c>
      <c r="M119" s="22" t="str">
        <f>VLOOKUP(F119,Data!$A$2:$E$12,4,false)</f>
        <v>#N/A</v>
      </c>
      <c r="N119" s="22" t="str">
        <f>VLOOKUP(F119,Data!$A$2:$E$12,5,false)</f>
        <v>#N/A</v>
      </c>
    </row>
    <row r="120" ht="15.75" hidden="1" customHeight="1">
      <c r="A120" s="27" t="str">
        <f>IFERROR(__xludf.DUMMYFUNCTION("""COMPUTED_VALUE"""),"T58")</f>
        <v>T58</v>
      </c>
      <c r="B120" s="27" t="str">
        <f>IFERROR(__xludf.DUMMYFUNCTION("""COMPUTED_VALUE"""),"Ajjajjaj ")</f>
        <v>Ajjajjaj </v>
      </c>
      <c r="C120" s="27"/>
      <c r="D120" s="28" t="str">
        <f>IFERROR(__xludf.DUMMYFUNCTION("""COMPUTED_VALUE"""),"https://www.youtube.com/watch?v=HvhCfVYB_JA")</f>
        <v>https://www.youtube.com/watch?v=HvhCfVYB_JA</v>
      </c>
      <c r="E120" s="27"/>
      <c r="F120" s="27"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c r="G120" s="27" t="str">
        <f>IFERROR(__xludf.DUMMYFUNCTION("""COMPUTED_VALUE"""),":)")</f>
        <v>:)</v>
      </c>
      <c r="H120" s="22">
        <f t="shared" ref="H120:I120" si="120">LEN(D120)</f>
        <v>43</v>
      </c>
      <c r="I120" s="22">
        <f t="shared" si="120"/>
        <v>0</v>
      </c>
      <c r="J120" s="12">
        <f t="shared" si="3"/>
        <v>1</v>
      </c>
      <c r="K120" s="12" t="str">
        <f>VLOOKUP(F120,Data!$A$2:$C$12,3,false)</f>
        <v>#N/A</v>
      </c>
      <c r="L120" s="12" t="str">
        <f>IF(G120,Data!$G$4,Data!$G$5)</f>
        <v>#VALUE!</v>
      </c>
      <c r="M120" s="22" t="str">
        <f>VLOOKUP(F120,Data!$A$2:$E$12,4,false)</f>
        <v>#N/A</v>
      </c>
      <c r="N120" s="22" t="str">
        <f>VLOOKUP(F120,Data!$A$2:$E$12,5,false)</f>
        <v>#N/A</v>
      </c>
    </row>
    <row r="121" ht="15.75" hidden="1" customHeight="1">
      <c r="A121" s="27" t="str">
        <f>IFERROR(__xludf.DUMMYFUNCTION("""COMPUTED_VALUE"""),"T59")</f>
        <v>T59</v>
      </c>
      <c r="B121" s="27" t="str">
        <f>IFERROR(__xludf.DUMMYFUNCTION("""COMPUTED_VALUE"""),"Autó egy szerpentinen ")</f>
        <v>Autó egy szerpentinen </v>
      </c>
      <c r="C121" s="27"/>
      <c r="D121" s="28" t="str">
        <f>IFERROR(__xludf.DUMMYFUNCTION("""COMPUTED_VALUE"""),"https://www.youtube.com/watch?v=a1AkJgIT15k")</f>
        <v>https://www.youtube.com/watch?v=a1AkJgIT15k</v>
      </c>
      <c r="E121" s="28" t="str">
        <f>IFERROR(__xludf.DUMMYFUNCTION("""COMPUTED_VALUE"""),"https://www.youtube.com/watch?v=y2yTI2HfMwg")</f>
        <v>https://www.youtube.com/watch?v=y2yTI2HfMwg</v>
      </c>
      <c r="F121" s="27"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c r="G121" s="27" t="str">
        <f>IFERROR(__xludf.DUMMYFUNCTION("""COMPUTED_VALUE"""),":)")</f>
        <v>:)</v>
      </c>
      <c r="H121" s="22">
        <f t="shared" ref="H121:I121" si="121">LEN(D121)</f>
        <v>43</v>
      </c>
      <c r="I121" s="22">
        <f t="shared" si="121"/>
        <v>43</v>
      </c>
      <c r="J121" s="12">
        <f t="shared" si="3"/>
        <v>1</v>
      </c>
      <c r="K121" s="12" t="str">
        <f>VLOOKUP(F121,Data!$A$2:$C$12,3,false)</f>
        <v>#N/A</v>
      </c>
      <c r="L121" s="12" t="str">
        <f>IF(G121,Data!$G$4,Data!$G$5)</f>
        <v>#VALUE!</v>
      </c>
      <c r="M121" s="22" t="str">
        <f>VLOOKUP(F121,Data!$A$2:$E$12,4,false)</f>
        <v>#N/A</v>
      </c>
      <c r="N121" s="22" t="str">
        <f>VLOOKUP(F121,Data!$A$2:$E$12,5,false)</f>
        <v>#N/A</v>
      </c>
    </row>
    <row r="122" ht="15.75" hidden="1" customHeight="1">
      <c r="A122" s="27" t="str">
        <f>IFERROR(__xludf.DUMMYFUNCTION("""COMPUTED_VALUE"""),"T60")</f>
        <v>T60</v>
      </c>
      <c r="B122" s="27" t="str">
        <f>IFERROR(__xludf.DUMMYFUNCTION("""COMPUTED_VALUE"""),"Most múlik pontosan")</f>
        <v>Most múlik pontosan</v>
      </c>
      <c r="C122" s="27"/>
      <c r="D122" s="28" t="str">
        <f>IFERROR(__xludf.DUMMYFUNCTION("""COMPUTED_VALUE"""),"https://www.youtube.com/watch?v=bbF7VVsKYIw")</f>
        <v>https://www.youtube.com/watch?v=bbF7VVsKYIw</v>
      </c>
      <c r="E122" s="28" t="str">
        <f>IFERROR(__xludf.DUMMYFUNCTION("""COMPUTED_VALUE"""),"https://www.youtube.com/watch?v=wh8YrVzD5t4")</f>
        <v>https://www.youtube.com/watch?v=wh8YrVzD5t4</v>
      </c>
      <c r="F122" s="27"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c r="G122" s="27" t="str">
        <f>IFERROR(__xludf.DUMMYFUNCTION("""COMPUTED_VALUE"""),":)")</f>
        <v>:)</v>
      </c>
      <c r="H122" s="22">
        <f t="shared" ref="H122:I122" si="122">LEN(D122)</f>
        <v>43</v>
      </c>
      <c r="I122" s="22">
        <f t="shared" si="122"/>
        <v>43</v>
      </c>
      <c r="J122" s="12">
        <f t="shared" si="3"/>
        <v>1</v>
      </c>
      <c r="K122" s="12" t="str">
        <f>VLOOKUP(F122,Data!$A$2:$C$12,3,false)</f>
        <v>#N/A</v>
      </c>
      <c r="L122" s="12" t="str">
        <f>IF(G122,Data!$G$4,Data!$G$5)</f>
        <v>#VALUE!</v>
      </c>
      <c r="M122" s="22" t="str">
        <f>VLOOKUP(F122,Data!$A$2:$E$12,4,false)</f>
        <v>#N/A</v>
      </c>
      <c r="N122" s="22" t="str">
        <f>VLOOKUP(F122,Data!$A$2:$E$12,5,false)</f>
        <v>#N/A</v>
      </c>
    </row>
    <row r="123" ht="15.75" hidden="1" customHeight="1">
      <c r="A123" s="27" t="str">
        <f>IFERROR(__xludf.DUMMYFUNCTION("""COMPUTED_VALUE"""),"T61")</f>
        <v>T61</v>
      </c>
      <c r="B123" s="27" t="str">
        <f>IFERROR(__xludf.DUMMYFUNCTION("""COMPUTED_VALUE"""),"Sehol se talállak ")</f>
        <v>Sehol se talállak </v>
      </c>
      <c r="C123" s="27"/>
      <c r="D123" s="28" t="str">
        <f>IFERROR(__xludf.DUMMYFUNCTION("""COMPUTED_VALUE"""),"https://www.youtube.com/watch?v=g1aonhGogcc")</f>
        <v>https://www.youtube.com/watch?v=g1aonhGogcc</v>
      </c>
      <c r="E123" s="28" t="str">
        <f>IFERROR(__xludf.DUMMYFUNCTION("""COMPUTED_VALUE"""),"https://www.youtube.com/watch?v=HrpuISwcQJ4")</f>
        <v>https://www.youtube.com/watch?v=HrpuISwcQJ4</v>
      </c>
      <c r="F123" s="27"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c r="G123" s="27" t="str">
        <f>IFERROR(__xludf.DUMMYFUNCTION("""COMPUTED_VALUE"""),":)")</f>
        <v>:)</v>
      </c>
      <c r="H123" s="22">
        <f t="shared" ref="H123:I123" si="123">LEN(D123)</f>
        <v>43</v>
      </c>
      <c r="I123" s="22">
        <f t="shared" si="123"/>
        <v>43</v>
      </c>
      <c r="J123" s="12">
        <f t="shared" si="3"/>
        <v>1</v>
      </c>
      <c r="K123" s="12" t="str">
        <f>VLOOKUP(F123,Data!$A$2:$C$12,3,false)</f>
        <v>#N/A</v>
      </c>
      <c r="L123" s="12" t="str">
        <f>IF(G123,Data!$G$4,Data!$G$5)</f>
        <v>#VALUE!</v>
      </c>
      <c r="M123" s="22" t="str">
        <f>VLOOKUP(F123,Data!$A$2:$E$12,4,false)</f>
        <v>#N/A</v>
      </c>
      <c r="N123" s="22" t="str">
        <f>VLOOKUP(F123,Data!$A$2:$E$12,5,false)</f>
        <v>#N/A</v>
      </c>
    </row>
    <row r="124" ht="15.75" hidden="1" customHeight="1">
      <c r="A124" s="27" t="str">
        <f>IFERROR(__xludf.DUMMYFUNCTION("""COMPUTED_VALUE"""),"T62")</f>
        <v>T62</v>
      </c>
      <c r="B124" s="27" t="str">
        <f>IFERROR(__xludf.DUMMYFUNCTION("""COMPUTED_VALUE"""),"67-es út ")</f>
        <v>67-es út </v>
      </c>
      <c r="C124" s="27"/>
      <c r="D124" s="28" t="str">
        <f>IFERROR(__xludf.DUMMYFUNCTION("""COMPUTED_VALUE"""),"https://www.youtube.com/watch?v=HE4aAQCghGs")</f>
        <v>https://www.youtube.com/watch?v=HE4aAQCghGs</v>
      </c>
      <c r="E124" s="28" t="str">
        <f>IFERROR(__xludf.DUMMYFUNCTION("""COMPUTED_VALUE"""),"https://www.youtube.com/watch?v=IJTVv2ZedA8")</f>
        <v>https://www.youtube.com/watch?v=IJTVv2ZedA8</v>
      </c>
      <c r="F124" s="27"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c r="G124" s="27" t="str">
        <f>IFERROR(__xludf.DUMMYFUNCTION("""COMPUTED_VALUE"""),":)")</f>
        <v>:)</v>
      </c>
      <c r="H124" s="22">
        <f t="shared" ref="H124:I124" si="124">LEN(D124)</f>
        <v>43</v>
      </c>
      <c r="I124" s="22">
        <f t="shared" si="124"/>
        <v>43</v>
      </c>
      <c r="J124" s="12">
        <f t="shared" si="3"/>
        <v>1</v>
      </c>
      <c r="K124" s="12" t="str">
        <f>VLOOKUP(F124,Data!$A$2:$C$12,3,false)</f>
        <v>#N/A</v>
      </c>
      <c r="L124" s="12" t="str">
        <f>IF(G124,Data!$G$4,Data!$G$5)</f>
        <v>#VALUE!</v>
      </c>
      <c r="M124" s="22" t="str">
        <f>VLOOKUP(F124,Data!$A$2:$E$12,4,false)</f>
        <v>#N/A</v>
      </c>
      <c r="N124" s="22" t="str">
        <f>VLOOKUP(F124,Data!$A$2:$E$12,5,false)</f>
        <v>#N/A</v>
      </c>
    </row>
    <row r="125" ht="15.75" hidden="1" customHeight="1">
      <c r="A125" s="27" t="str">
        <f>IFERROR(__xludf.DUMMYFUNCTION("""COMPUTED_VALUE"""),"T63")</f>
        <v>T63</v>
      </c>
      <c r="B125" s="27" t="str">
        <f>IFERROR(__xludf.DUMMYFUNCTION("""COMPUTED_VALUE"""),"Erdő közepében ")</f>
        <v>Erdő közepében </v>
      </c>
      <c r="C125" s="27"/>
      <c r="D125" s="28" t="str">
        <f>IFERROR(__xludf.DUMMYFUNCTION("""COMPUTED_VALUE"""),"https://www.youtube.com/watch?v=E27kXI8RSTY")</f>
        <v>https://www.youtube.com/watch?v=E27kXI8RSTY</v>
      </c>
      <c r="E125" s="28" t="str">
        <f>IFERROR(__xludf.DUMMYFUNCTION("""COMPUTED_VALUE"""),"https://www.youtube.com/watch?v=VtKDPNxPfCw")</f>
        <v>https://www.youtube.com/watch?v=VtKDPNxPfCw</v>
      </c>
      <c r="F125" s="27"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c r="G125" s="27" t="str">
        <f>IFERROR(__xludf.DUMMYFUNCTION("""COMPUTED_VALUE"""),":)")</f>
        <v>:)</v>
      </c>
      <c r="H125" s="22">
        <f t="shared" ref="H125:I125" si="125">LEN(D125)</f>
        <v>43</v>
      </c>
      <c r="I125" s="22">
        <f t="shared" si="125"/>
        <v>43</v>
      </c>
      <c r="J125" s="12">
        <f t="shared" si="3"/>
        <v>1</v>
      </c>
      <c r="K125" s="12" t="str">
        <f>VLOOKUP(F125,Data!$A$2:$C$12,3,false)</f>
        <v>#N/A</v>
      </c>
      <c r="L125" s="12" t="str">
        <f>IF(G125,Data!$G$4,Data!$G$5)</f>
        <v>#VALUE!</v>
      </c>
      <c r="M125" s="22" t="str">
        <f>VLOOKUP(F125,Data!$A$2:$E$12,4,false)</f>
        <v>#N/A</v>
      </c>
      <c r="N125" s="22" t="str">
        <f>VLOOKUP(F125,Data!$A$2:$E$12,5,false)</f>
        <v>#N/A</v>
      </c>
    </row>
    <row r="126" ht="15.75" customHeight="1">
      <c r="A126" s="27" t="str">
        <f>IFERROR(__xludf.DUMMYFUNCTION("""COMPUTED_VALUE"""),"T64")</f>
        <v>T64</v>
      </c>
      <c r="B126" s="27" t="str">
        <f>IFERROR(__xludf.DUMMYFUNCTION("""COMPUTED_VALUE"""),"Fáj a szívem érted")</f>
        <v>Fáj a szívem érted</v>
      </c>
      <c r="C126" s="27"/>
      <c r="D126" s="28" t="str">
        <f>IFERROR(__xludf.DUMMYFUNCTION("""COMPUTED_VALUE"""),"https://www.youtube.com/watch?v=ipDej6nFgQg")</f>
        <v>https://www.youtube.com/watch?v=ipDej6nFgQg</v>
      </c>
      <c r="E126" s="28" t="str">
        <f>IFERROR(__xludf.DUMMYFUNCTION("""COMPUTED_VALUE"""),"https://www.youtube.com/watch?v=Of7ItDwWnX4")</f>
        <v>https://www.youtube.com/watch?v=Of7ItDwWnX4</v>
      </c>
      <c r="F126" s="27"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c r="G126" s="27" t="str">
        <f>IFERROR(__xludf.DUMMYFUNCTION("""COMPUTED_VALUE"""),":)")</f>
        <v>:)</v>
      </c>
      <c r="H126" s="22">
        <f t="shared" ref="H126:I126" si="126">LEN(D126)</f>
        <v>43</v>
      </c>
      <c r="I126" s="22">
        <f t="shared" si="126"/>
        <v>43</v>
      </c>
      <c r="J126" s="12">
        <f t="shared" si="3"/>
        <v>1</v>
      </c>
      <c r="K126" s="12" t="str">
        <f>VLOOKUP(F126,Data!$A$2:$C$12,3,false)</f>
        <v>#N/A</v>
      </c>
      <c r="L126" s="12" t="str">
        <f>IF(G126,Data!$G$4,Data!$G$5)</f>
        <v>#VALUE!</v>
      </c>
      <c r="M126" s="22" t="str">
        <f>VLOOKUP(F126,Data!$A$2:$E$12,4,false)</f>
        <v>#N/A</v>
      </c>
      <c r="N126" s="22" t="str">
        <f>VLOOKUP(F126,Data!$A$2:$E$12,5,false)</f>
        <v>#N/A</v>
      </c>
    </row>
    <row r="127" ht="15.75" hidden="1" customHeight="1">
      <c r="A127" s="27" t="str">
        <f>IFERROR(__xludf.DUMMYFUNCTION("""COMPUTED_VALUE"""),"T65")</f>
        <v>T65</v>
      </c>
      <c r="B127" s="27" t="str">
        <f>IFERROR(__xludf.DUMMYFUNCTION("""COMPUTED_VALUE"""),"Ha itt lennél velem")</f>
        <v>Ha itt lennél velem</v>
      </c>
      <c r="C127" s="27" t="str">
        <f>IFERROR(__xludf.DUMMYFUNCTION("""COMPUTED_VALUE"""),"(1/2)")</f>
        <v>(1/2)</v>
      </c>
      <c r="D127" s="28" t="str">
        <f>IFERROR(__xludf.DUMMYFUNCTION("""COMPUTED_VALUE"""),"https://www.youtube.com/watch?v=yM9emQMPRgc")</f>
        <v>https://www.youtube.com/watch?v=yM9emQMPRgc</v>
      </c>
      <c r="E127" s="28" t="str">
        <f>IFERROR(__xludf.DUMMYFUNCTION("""COMPUTED_VALUE"""),"https://www.youtube.com/watch?v=N0AV_4cZdB4")</f>
        <v>https://www.youtube.com/watch?v=N0AV_4cZdB4</v>
      </c>
      <c r="F127" s="27"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c r="G127" s="27" t="str">
        <f>IFERROR(__xludf.DUMMYFUNCTION("""COMPUTED_VALUE"""),":)")</f>
        <v>:)</v>
      </c>
      <c r="H127" s="22">
        <f t="shared" ref="H127:I127" si="127">LEN(D127)</f>
        <v>43</v>
      </c>
      <c r="I127" s="22">
        <f t="shared" si="127"/>
        <v>43</v>
      </c>
      <c r="J127" s="12">
        <f t="shared" si="3"/>
        <v>1</v>
      </c>
      <c r="K127" s="12" t="str">
        <f>VLOOKUP(F127,Data!$A$2:$C$12,3,false)</f>
        <v>#N/A</v>
      </c>
      <c r="L127" s="12" t="str">
        <f>IF(G127,Data!$G$4,Data!$G$5)</f>
        <v>#VALUE!</v>
      </c>
      <c r="M127" s="22" t="str">
        <f>VLOOKUP(F127,Data!$A$2:$E$12,4,false)</f>
        <v>#N/A</v>
      </c>
      <c r="N127" s="22" t="str">
        <f>VLOOKUP(F127,Data!$A$2:$E$12,5,false)</f>
        <v>#N/A</v>
      </c>
    </row>
    <row r="128" ht="15.75" hidden="1" customHeight="1">
      <c r="A128" s="27" t="str">
        <f>IFERROR(__xludf.DUMMYFUNCTION("""COMPUTED_VALUE"""),"T65")</f>
        <v>T65</v>
      </c>
      <c r="B128" s="27" t="str">
        <f>IFERROR(__xludf.DUMMYFUNCTION("""COMPUTED_VALUE"""),"Ha itt lennél velem")</f>
        <v>Ha itt lennél velem</v>
      </c>
      <c r="C128" s="27" t="str">
        <f>IFERROR(__xludf.DUMMYFUNCTION("""COMPUTED_VALUE"""),"(2/2)")</f>
        <v>(2/2)</v>
      </c>
      <c r="D128" s="28" t="str">
        <f>IFERROR(__xludf.DUMMYFUNCTION("""COMPUTED_VALUE"""),"https://www.youtube.com/watch?v=yM9emQMPRgc")</f>
        <v>https://www.youtube.com/watch?v=yM9emQMPRgc</v>
      </c>
      <c r="E128" s="28" t="str">
        <f>IFERROR(__xludf.DUMMYFUNCTION("""COMPUTED_VALUE"""),"https://www.youtube.com/watch?v=N0AV_4cZdB4")</f>
        <v>https://www.youtube.com/watch?v=N0AV_4cZdB4</v>
      </c>
      <c r="F128" s="27"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c r="G128" s="27" t="str">
        <f>IFERROR(__xludf.DUMMYFUNCTION("""COMPUTED_VALUE"""),":)")</f>
        <v>:)</v>
      </c>
      <c r="H128" s="22">
        <f t="shared" ref="H128:I128" si="128">LEN(D128)</f>
        <v>43</v>
      </c>
      <c r="I128" s="22">
        <f t="shared" si="128"/>
        <v>43</v>
      </c>
      <c r="J128" s="12">
        <f t="shared" si="3"/>
        <v>1</v>
      </c>
      <c r="K128" s="12" t="str">
        <f>VLOOKUP(F128,Data!$A$2:$C$12,3,false)</f>
        <v>#N/A</v>
      </c>
      <c r="L128" s="12" t="str">
        <f>IF(G128,Data!$G$4,Data!$G$5)</f>
        <v>#VALUE!</v>
      </c>
      <c r="M128" s="22" t="str">
        <f>VLOOKUP(F128,Data!$A$2:$E$12,4,false)</f>
        <v>#N/A</v>
      </c>
      <c r="N128" s="22" t="str">
        <f>VLOOKUP(F128,Data!$A$2:$E$12,5,false)</f>
        <v>#N/A</v>
      </c>
    </row>
    <row r="129" ht="15.75" hidden="1" customHeight="1">
      <c r="A129" s="27" t="str">
        <f>IFERROR(__xludf.DUMMYFUNCTION("""COMPUTED_VALUE"""),"T66")</f>
        <v>T66</v>
      </c>
      <c r="B129" s="27" t="str">
        <f>IFERROR(__xludf.DUMMYFUNCTION("""COMPUTED_VALUE"""),"Szállj el kismadár")</f>
        <v>Szállj el kismadár</v>
      </c>
      <c r="C129" s="27"/>
      <c r="D129" s="28" t="str">
        <f>IFERROR(__xludf.DUMMYFUNCTION("""COMPUTED_VALUE"""),"https://www.youtube.com/watch?v=2LkUu85JLAc")</f>
        <v>https://www.youtube.com/watch?v=2LkUu85JLAc</v>
      </c>
      <c r="E129" s="28" t="str">
        <f>IFERROR(__xludf.DUMMYFUNCTION("""COMPUTED_VALUE"""),"https://www.youtube.com/watch?v=2LkUu85JLAc")</f>
        <v>https://www.youtube.com/watch?v=2LkUu85JLAc</v>
      </c>
      <c r="F129" s="27"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c r="G129" s="27" t="str">
        <f>IFERROR(__xludf.DUMMYFUNCTION("""COMPUTED_VALUE"""),":)")</f>
        <v>:)</v>
      </c>
      <c r="H129" s="22">
        <f t="shared" ref="H129:I129" si="129">LEN(D129)</f>
        <v>43</v>
      </c>
      <c r="I129" s="22">
        <f t="shared" si="129"/>
        <v>43</v>
      </c>
      <c r="J129" s="12">
        <f t="shared" si="3"/>
        <v>1</v>
      </c>
      <c r="K129" s="12" t="str">
        <f>VLOOKUP(F129,Data!$A$2:$C$12,3,false)</f>
        <v>#N/A</v>
      </c>
      <c r="L129" s="12" t="str">
        <f>IF(G129,Data!$G$4,Data!$G$5)</f>
        <v>#VALUE!</v>
      </c>
      <c r="M129" s="22" t="str">
        <f>VLOOKUP(F129,Data!$A$2:$E$12,4,false)</f>
        <v>#N/A</v>
      </c>
      <c r="N129" s="22" t="str">
        <f>VLOOKUP(F129,Data!$A$2:$E$12,5,false)</f>
        <v>#N/A</v>
      </c>
    </row>
    <row r="130" ht="15.75" hidden="1" customHeight="1">
      <c r="A130" s="27" t="str">
        <f>IFERROR(__xludf.DUMMYFUNCTION("""COMPUTED_VALUE"""),"T67")</f>
        <v>T67</v>
      </c>
      <c r="B130" s="27" t="str">
        <f>IFERROR(__xludf.DUMMYFUNCTION("""COMPUTED_VALUE"""),"Szeretni valakit valamiért ")</f>
        <v>Szeretni valakit valamiért </v>
      </c>
      <c r="C130" s="27"/>
      <c r="D130" s="28" t="str">
        <f>IFERROR(__xludf.DUMMYFUNCTION("""COMPUTED_VALUE"""),"https://www.youtube.com/watch?v=YukMpEFjoRA")</f>
        <v>https://www.youtube.com/watch?v=YukMpEFjoRA</v>
      </c>
      <c r="E130" s="28" t="str">
        <f>IFERROR(__xludf.DUMMYFUNCTION("""COMPUTED_VALUE"""),"https://www.youtube.com/watch?v=GuE1QigNAH0")</f>
        <v>https://www.youtube.com/watch?v=GuE1QigNAH0</v>
      </c>
      <c r="F130" s="27"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c r="G130" s="27" t="str">
        <f>IFERROR(__xludf.DUMMYFUNCTION("""COMPUTED_VALUE"""),":)")</f>
        <v>:)</v>
      </c>
      <c r="H130" s="22">
        <f t="shared" ref="H130:I130" si="130">LEN(D130)</f>
        <v>43</v>
      </c>
      <c r="I130" s="22">
        <f t="shared" si="130"/>
        <v>43</v>
      </c>
      <c r="J130" s="12">
        <f t="shared" si="3"/>
        <v>1</v>
      </c>
      <c r="K130" s="12" t="str">
        <f>VLOOKUP(F130,Data!$A$2:$C$12,3,false)</f>
        <v>#N/A</v>
      </c>
      <c r="L130" s="12" t="str">
        <f>IF(G130,Data!$G$4,Data!$G$5)</f>
        <v>#VALUE!</v>
      </c>
      <c r="M130" s="22" t="str">
        <f>VLOOKUP(F130,Data!$A$2:$E$12,4,false)</f>
        <v>#N/A</v>
      </c>
      <c r="N130" s="22" t="str">
        <f>VLOOKUP(F130,Data!$A$2:$E$12,5,false)</f>
        <v>#N/A</v>
      </c>
    </row>
    <row r="131" ht="15.75" hidden="1" customHeight="1">
      <c r="A131" s="27" t="str">
        <f>IFERROR(__xludf.DUMMYFUNCTION("""COMPUTED_VALUE"""),"T68")</f>
        <v>T68</v>
      </c>
      <c r="B131" s="27" t="str">
        <f>IFERROR(__xludf.DUMMYFUNCTION("""COMPUTED_VALUE"""),"Vigyázz a madárra")</f>
        <v>Vigyázz a madárra</v>
      </c>
      <c r="C131" s="27"/>
      <c r="D131" s="28" t="str">
        <f>IFERROR(__xludf.DUMMYFUNCTION("""COMPUTED_VALUE"""),"https://www.youtube.com/watch?v=ulqbh-ovrLw")</f>
        <v>https://www.youtube.com/watch?v=ulqbh-ovrLw</v>
      </c>
      <c r="E131" s="28" t="str">
        <f>IFERROR(__xludf.DUMMYFUNCTION("""COMPUTED_VALUE"""),"https://www.youtube.com/watch?v=EnglA2gJK8U")</f>
        <v>https://www.youtube.com/watch?v=EnglA2gJK8U</v>
      </c>
      <c r="F131" s="27"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c r="G131" s="27" t="str">
        <f>IFERROR(__xludf.DUMMYFUNCTION("""COMPUTED_VALUE"""),":)")</f>
        <v>:)</v>
      </c>
      <c r="H131" s="22">
        <f t="shared" ref="H131:I131" si="131">LEN(D131)</f>
        <v>43</v>
      </c>
      <c r="I131" s="22">
        <f t="shared" si="131"/>
        <v>43</v>
      </c>
      <c r="J131" s="12">
        <f t="shared" si="3"/>
        <v>1</v>
      </c>
      <c r="K131" s="12" t="str">
        <f>VLOOKUP(F131,Data!$A$2:$C$12,3,false)</f>
        <v>#N/A</v>
      </c>
      <c r="L131" s="12" t="str">
        <f>IF(G131,Data!$G$4,Data!$G$5)</f>
        <v>#VALUE!</v>
      </c>
      <c r="M131" s="22" t="str">
        <f>VLOOKUP(F131,Data!$A$2:$E$12,4,false)</f>
        <v>#N/A</v>
      </c>
      <c r="N131" s="22" t="str">
        <f>VLOOKUP(F131,Data!$A$2:$E$12,5,false)</f>
        <v>#N/A</v>
      </c>
    </row>
    <row r="132" ht="15.75" hidden="1" customHeight="1">
      <c r="A132" s="27" t="str">
        <f>IFERROR(__xludf.DUMMYFUNCTION("""COMPUTED_VALUE"""),"T69")</f>
        <v>T69</v>
      </c>
      <c r="B132" s="27" t="str">
        <f>IFERROR(__xludf.DUMMYFUNCTION("""COMPUTED_VALUE"""),"16 tonna")</f>
        <v>16 tonna</v>
      </c>
      <c r="C132" s="27"/>
      <c r="D132" s="28" t="str">
        <f>IFERROR(__xludf.DUMMYFUNCTION("""COMPUTED_VALUE"""),"https://www.youtube.com/watch?v=5CtKr7Ou3gc")</f>
        <v>https://www.youtube.com/watch?v=5CtKr7Ou3gc</v>
      </c>
      <c r="E132" s="28" t="str">
        <f>IFERROR(__xludf.DUMMYFUNCTION("""COMPUTED_VALUE"""),"https://www.youtube.com/watch?v=rcK69m2FdPA")</f>
        <v>https://www.youtube.com/watch?v=rcK69m2FdPA</v>
      </c>
      <c r="F132" s="27"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c r="G132" s="27" t="str">
        <f>IFERROR(__xludf.DUMMYFUNCTION("""COMPUTED_VALUE"""),":)")</f>
        <v>:)</v>
      </c>
      <c r="H132" s="22">
        <f t="shared" ref="H132:I132" si="132">LEN(D132)</f>
        <v>43</v>
      </c>
      <c r="I132" s="22">
        <f t="shared" si="132"/>
        <v>43</v>
      </c>
      <c r="J132" s="12">
        <f t="shared" si="3"/>
        <v>1</v>
      </c>
      <c r="K132" s="12" t="str">
        <f>VLOOKUP(F132,Data!$A$2:$C$12,3,false)</f>
        <v>#N/A</v>
      </c>
      <c r="L132" s="12" t="str">
        <f>IF(G132,Data!$G$4,Data!$G$5)</f>
        <v>#VALUE!</v>
      </c>
      <c r="M132" s="22" t="str">
        <f>VLOOKUP(F132,Data!$A$2:$E$12,4,false)</f>
        <v>#N/A</v>
      </c>
      <c r="N132" s="22" t="str">
        <f>VLOOKUP(F132,Data!$A$2:$E$12,5,false)</f>
        <v>#N/A</v>
      </c>
    </row>
    <row r="133" ht="15.75" hidden="1" customHeight="1">
      <c r="A133" s="27" t="str">
        <f>IFERROR(__xludf.DUMMYFUNCTION("""COMPUTED_VALUE"""),"T70")</f>
        <v>T70</v>
      </c>
      <c r="B133" s="27" t="str">
        <f>IFERROR(__xludf.DUMMYFUNCTION("""COMPUTED_VALUE"""),"Ohio")</f>
        <v>Ohio</v>
      </c>
      <c r="C133" s="27"/>
      <c r="D133" s="28" t="str">
        <f>IFERROR(__xludf.DUMMYFUNCTION("""COMPUTED_VALUE"""),"https://www.youtube.com/watch?v=_fqz5Cb163k")</f>
        <v>https://www.youtube.com/watch?v=_fqz5Cb163k</v>
      </c>
      <c r="E133" s="28" t="str">
        <f>IFERROR(__xludf.DUMMYFUNCTION("""COMPUTED_VALUE"""),"https://www.youtube.com/watch?v=6WfaTjj3T4Q")</f>
        <v>https://www.youtube.com/watch?v=6WfaTjj3T4Q</v>
      </c>
      <c r="F133" s="27"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c r="G133" s="27" t="str">
        <f>IFERROR(__xludf.DUMMYFUNCTION("""COMPUTED_VALUE"""),":)")</f>
        <v>:)</v>
      </c>
      <c r="H133" s="22">
        <f t="shared" ref="H133:I133" si="133">LEN(D133)</f>
        <v>43</v>
      </c>
      <c r="I133" s="22">
        <f t="shared" si="133"/>
        <v>43</v>
      </c>
      <c r="J133" s="12">
        <f t="shared" si="3"/>
        <v>1</v>
      </c>
      <c r="K133" s="12" t="str">
        <f>VLOOKUP(F133,Data!$A$2:$C$12,3,false)</f>
        <v>#N/A</v>
      </c>
      <c r="L133" s="12" t="str">
        <f>IF(G133,Data!$G$4,Data!$G$5)</f>
        <v>#VALUE!</v>
      </c>
      <c r="M133" s="22" t="str">
        <f>VLOOKUP(F133,Data!$A$2:$E$12,4,false)</f>
        <v>#N/A</v>
      </c>
      <c r="N133" s="22" t="str">
        <f>VLOOKUP(F133,Data!$A$2:$E$12,5,false)</f>
        <v>#N/A</v>
      </c>
    </row>
    <row r="134" ht="15.75" hidden="1" customHeight="1">
      <c r="A134" s="27" t="str">
        <f>IFERROR(__xludf.DUMMYFUNCTION("""COMPUTED_VALUE"""),"T71")</f>
        <v>T71</v>
      </c>
      <c r="B134" s="27" t="str">
        <f>IFERROR(__xludf.DUMMYFUNCTION("""COMPUTED_VALUE"""),"Bájoló")</f>
        <v>Bájoló</v>
      </c>
      <c r="C134" s="27"/>
      <c r="D134" s="28" t="str">
        <f>IFERROR(__xludf.DUMMYFUNCTION("""COMPUTED_VALUE"""),"https://www.youtube.com/watch?v=PcPmokVbz3A")</f>
        <v>https://www.youtube.com/watch?v=PcPmokVbz3A</v>
      </c>
      <c r="E134" s="28" t="str">
        <f>IFERROR(__xludf.DUMMYFUNCTION("""COMPUTED_VALUE"""),"https://www.youtube.com/watch?v=PcPmokVbz3A")</f>
        <v>https://www.youtube.com/watch?v=PcPmokVbz3A</v>
      </c>
      <c r="F134" s="27"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c r="G134" s="27" t="str">
        <f>IFERROR(__xludf.DUMMYFUNCTION("""COMPUTED_VALUE"""),":)")</f>
        <v>:)</v>
      </c>
      <c r="H134" s="22">
        <f t="shared" ref="H134:I134" si="134">LEN(D134)</f>
        <v>43</v>
      </c>
      <c r="I134" s="22">
        <f t="shared" si="134"/>
        <v>43</v>
      </c>
      <c r="J134" s="12">
        <f t="shared" si="3"/>
        <v>1</v>
      </c>
      <c r="K134" s="12" t="str">
        <f>VLOOKUP(F134,Data!$A$2:$C$12,3,false)</f>
        <v>#N/A</v>
      </c>
      <c r="L134" s="12" t="str">
        <f>IF(G134,Data!$G$4,Data!$G$5)</f>
        <v>#VALUE!</v>
      </c>
      <c r="M134" s="22" t="str">
        <f>VLOOKUP(F134,Data!$A$2:$E$12,4,false)</f>
        <v>#N/A</v>
      </c>
      <c r="N134" s="22" t="str">
        <f>VLOOKUP(F134,Data!$A$2:$E$12,5,false)</f>
        <v>#N/A</v>
      </c>
    </row>
    <row r="135" ht="15.75" hidden="1" customHeight="1">
      <c r="A135" s="27" t="str">
        <f>IFERROR(__xludf.DUMMYFUNCTION("""COMPUTED_VALUE"""),"T72")</f>
        <v>T72</v>
      </c>
      <c r="B135" s="27" t="str">
        <f>IFERROR(__xludf.DUMMYFUNCTION("""COMPUTED_VALUE"""),"Egyszerű dal")</f>
        <v>Egyszerű dal</v>
      </c>
      <c r="C135" s="27"/>
      <c r="D135" s="28" t="str">
        <f>IFERROR(__xludf.DUMMYFUNCTION("""COMPUTED_VALUE"""),"https://www.youtube.com/watch?v=OS07TNrrwjU")</f>
        <v>https://www.youtube.com/watch?v=OS07TNrrwjU</v>
      </c>
      <c r="E135" s="28" t="str">
        <f>IFERROR(__xludf.DUMMYFUNCTION("""COMPUTED_VALUE"""),"https://www.youtube.com/watch?v=OS07TNrrwjU")</f>
        <v>https://www.youtube.com/watch?v=OS07TNrrwjU</v>
      </c>
      <c r="F135" s="27"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c r="G135" s="27" t="str">
        <f>IFERROR(__xludf.DUMMYFUNCTION("""COMPUTED_VALUE"""),":)")</f>
        <v>:)</v>
      </c>
      <c r="H135" s="22">
        <f t="shared" ref="H135:I135" si="135">LEN(D135)</f>
        <v>43</v>
      </c>
      <c r="I135" s="22">
        <f t="shared" si="135"/>
        <v>43</v>
      </c>
      <c r="J135" s="12">
        <f t="shared" si="3"/>
        <v>1</v>
      </c>
      <c r="K135" s="12" t="str">
        <f>VLOOKUP(F135,Data!$A$2:$C$12,3,false)</f>
        <v>#N/A</v>
      </c>
      <c r="L135" s="12" t="str">
        <f>IF(G135,Data!$G$4,Data!$G$5)</f>
        <v>#VALUE!</v>
      </c>
      <c r="M135" s="22" t="str">
        <f>VLOOKUP(F135,Data!$A$2:$E$12,4,false)</f>
        <v>#N/A</v>
      </c>
      <c r="N135" s="22" t="str">
        <f>VLOOKUP(F135,Data!$A$2:$E$12,5,false)</f>
        <v>#N/A</v>
      </c>
    </row>
    <row r="136" ht="15.75" hidden="1" customHeight="1">
      <c r="A136" s="27" t="str">
        <f>IFERROR(__xludf.DUMMYFUNCTION("""COMPUTED_VALUE"""),"T73")</f>
        <v>T73</v>
      </c>
      <c r="B136" s="27" t="str">
        <f>IFERROR(__xludf.DUMMYFUNCTION("""COMPUTED_VALUE"""),"Mennyország Tourist")</f>
        <v>Mennyország Tourist</v>
      </c>
      <c r="C136" s="27" t="str">
        <f>IFERROR(__xludf.DUMMYFUNCTION("""COMPUTED_VALUE"""),"(1/2)")</f>
        <v>(1/2)</v>
      </c>
      <c r="D136" s="28" t="str">
        <f>IFERROR(__xludf.DUMMYFUNCTION("""COMPUTED_VALUE"""),"https://www.youtube.com/watch?v=BJceRTvD9Fo")</f>
        <v>https://www.youtube.com/watch?v=BJceRTvD9Fo</v>
      </c>
      <c r="E136" s="28" t="str">
        <f>IFERROR(__xludf.DUMMYFUNCTION("""COMPUTED_VALUE"""),"https://www.youtube.com/watch?v=BJceRTvD9Fo")</f>
        <v>https://www.youtube.com/watch?v=BJceRTvD9Fo</v>
      </c>
      <c r="F136" s="27"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c r="G136" s="27" t="str">
        <f>IFERROR(__xludf.DUMMYFUNCTION("""COMPUTED_VALUE"""),":)")</f>
        <v>:)</v>
      </c>
      <c r="H136" s="22">
        <f t="shared" ref="H136:I136" si="136">LEN(D136)</f>
        <v>43</v>
      </c>
      <c r="I136" s="22">
        <f t="shared" si="136"/>
        <v>43</v>
      </c>
      <c r="J136" s="12">
        <f t="shared" si="3"/>
        <v>1</v>
      </c>
      <c r="K136" s="12" t="str">
        <f>VLOOKUP(F136,Data!$A$2:$C$12,3,false)</f>
        <v>#N/A</v>
      </c>
      <c r="L136" s="12" t="str">
        <f>IF(G136,Data!$G$4,Data!$G$5)</f>
        <v>#VALUE!</v>
      </c>
      <c r="M136" s="22" t="str">
        <f>VLOOKUP(F136,Data!$A$2:$E$12,4,false)</f>
        <v>#N/A</v>
      </c>
      <c r="N136" s="22" t="str">
        <f>VLOOKUP(F136,Data!$A$2:$E$12,5,false)</f>
        <v>#N/A</v>
      </c>
    </row>
    <row r="137" ht="15.75" hidden="1" customHeight="1">
      <c r="A137" s="27" t="str">
        <f>IFERROR(__xludf.DUMMYFUNCTION("""COMPUTED_VALUE"""),"T73")</f>
        <v>T73</v>
      </c>
      <c r="B137" s="27" t="str">
        <f>IFERROR(__xludf.DUMMYFUNCTION("""COMPUTED_VALUE"""),"Mennyország Tourist")</f>
        <v>Mennyország Tourist</v>
      </c>
      <c r="C137" s="27" t="str">
        <f>IFERROR(__xludf.DUMMYFUNCTION("""COMPUTED_VALUE"""),"(2/2)")</f>
        <v>(2/2)</v>
      </c>
      <c r="D137" s="28" t="str">
        <f>IFERROR(__xludf.DUMMYFUNCTION("""COMPUTED_VALUE"""),"https://www.youtube.com/watch?v=BJceRTvD9Fo")</f>
        <v>https://www.youtube.com/watch?v=BJceRTvD9Fo</v>
      </c>
      <c r="E137" s="28" t="str">
        <f>IFERROR(__xludf.DUMMYFUNCTION("""COMPUTED_VALUE"""),"https://www.youtube.com/watch?v=BJceRTvD9Fo")</f>
        <v>https://www.youtube.com/watch?v=BJceRTvD9Fo</v>
      </c>
      <c r="F137" s="27"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c r="G137" s="27" t="str">
        <f>IFERROR(__xludf.DUMMYFUNCTION("""COMPUTED_VALUE"""),":)")</f>
        <v>:)</v>
      </c>
      <c r="H137" s="22">
        <f t="shared" ref="H137:I137" si="137">LEN(D137)</f>
        <v>43</v>
      </c>
      <c r="I137" s="22">
        <f t="shared" si="137"/>
        <v>43</v>
      </c>
      <c r="J137" s="12">
        <f t="shared" si="3"/>
        <v>1</v>
      </c>
      <c r="K137" s="12" t="str">
        <f>VLOOKUP(F137,Data!$A$2:$C$12,3,false)</f>
        <v>#N/A</v>
      </c>
      <c r="L137" s="12" t="str">
        <f>IF(G137,Data!$G$4,Data!$G$5)</f>
        <v>#VALUE!</v>
      </c>
      <c r="M137" s="22" t="str">
        <f>VLOOKUP(F137,Data!$A$2:$E$12,4,false)</f>
        <v>#N/A</v>
      </c>
      <c r="N137" s="22" t="str">
        <f>VLOOKUP(F137,Data!$A$2:$E$12,5,false)</f>
        <v>#N/A</v>
      </c>
    </row>
    <row r="138" ht="15.75" hidden="1" customHeight="1">
      <c r="A138" s="27" t="str">
        <f>IFERROR(__xludf.DUMMYFUNCTION("""COMPUTED_VALUE"""),"T74")</f>
        <v>T74</v>
      </c>
      <c r="B138" s="27" t="str">
        <f>IFERROR(__xludf.DUMMYFUNCTION("""COMPUTED_VALUE"""),"Örökké tart")</f>
        <v>Örökké tart</v>
      </c>
      <c r="C138" s="27" t="str">
        <f>IFERROR(__xludf.DUMMYFUNCTION("""COMPUTED_VALUE"""),"(1/2)")</f>
        <v>(1/2)</v>
      </c>
      <c r="D138" s="28" t="str">
        <f>IFERROR(__xludf.DUMMYFUNCTION("""COMPUTED_VALUE"""),"https://www.youtube.com/watch?v=gDevCxVY_wA")</f>
        <v>https://www.youtube.com/watch?v=gDevCxVY_wA</v>
      </c>
      <c r="E138" s="28" t="str">
        <f>IFERROR(__xludf.DUMMYFUNCTION("""COMPUTED_VALUE"""),"https://www.youtube.com/watch?v=gDevCxVY_wA")</f>
        <v>https://www.youtube.com/watch?v=gDevCxVY_wA</v>
      </c>
      <c r="F138" s="27"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c r="G138" s="27" t="str">
        <f>IFERROR(__xludf.DUMMYFUNCTION("""COMPUTED_VALUE"""),":)")</f>
        <v>:)</v>
      </c>
      <c r="H138" s="22">
        <f t="shared" ref="H138:I138" si="138">LEN(D138)</f>
        <v>43</v>
      </c>
      <c r="I138" s="22">
        <f t="shared" si="138"/>
        <v>43</v>
      </c>
      <c r="J138" s="12">
        <f t="shared" si="3"/>
        <v>1</v>
      </c>
      <c r="K138" s="12" t="str">
        <f>VLOOKUP(F138,Data!$A$2:$C$12,3,false)</f>
        <v>#N/A</v>
      </c>
      <c r="L138" s="12" t="str">
        <f>IF(G138,Data!$G$4,Data!$G$5)</f>
        <v>#VALUE!</v>
      </c>
      <c r="M138" s="22" t="str">
        <f>VLOOKUP(F138,Data!$A$2:$E$12,4,false)</f>
        <v>#N/A</v>
      </c>
      <c r="N138" s="22" t="str">
        <f>VLOOKUP(F138,Data!$A$2:$E$12,5,false)</f>
        <v>#N/A</v>
      </c>
    </row>
    <row r="139" ht="15.75" hidden="1" customHeight="1">
      <c r="A139" s="27" t="str">
        <f>IFERROR(__xludf.DUMMYFUNCTION("""COMPUTED_VALUE"""),"T74")</f>
        <v>T74</v>
      </c>
      <c r="B139" s="27" t="str">
        <f>IFERROR(__xludf.DUMMYFUNCTION("""COMPUTED_VALUE"""),"Örökké tart")</f>
        <v>Örökké tart</v>
      </c>
      <c r="C139" s="27" t="str">
        <f>IFERROR(__xludf.DUMMYFUNCTION("""COMPUTED_VALUE"""),"(2/2)")</f>
        <v>(2/2)</v>
      </c>
      <c r="D139" s="28" t="str">
        <f>IFERROR(__xludf.DUMMYFUNCTION("""COMPUTED_VALUE"""),"https://www.youtube.com/watch?v=gDevCxVY_wA")</f>
        <v>https://www.youtube.com/watch?v=gDevCxVY_wA</v>
      </c>
      <c r="E139" s="28" t="str">
        <f>IFERROR(__xludf.DUMMYFUNCTION("""COMPUTED_VALUE"""),"https://www.youtube.com/watch?v=gDevCxVY_wA")</f>
        <v>https://www.youtube.com/watch?v=gDevCxVY_wA</v>
      </c>
      <c r="F139" s="27"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c r="G139" s="27" t="str">
        <f>IFERROR(__xludf.DUMMYFUNCTION("""COMPUTED_VALUE"""),":)")</f>
        <v>:)</v>
      </c>
      <c r="H139" s="22">
        <f t="shared" ref="H139:I139" si="139">LEN(D139)</f>
        <v>43</v>
      </c>
      <c r="I139" s="22">
        <f t="shared" si="139"/>
        <v>43</v>
      </c>
      <c r="J139" s="12">
        <f t="shared" si="3"/>
        <v>1</v>
      </c>
      <c r="K139" s="12" t="str">
        <f>VLOOKUP(F139,Data!$A$2:$C$12,3,false)</f>
        <v>#N/A</v>
      </c>
      <c r="L139" s="12" t="str">
        <f>IF(G139,Data!$G$4,Data!$G$5)</f>
        <v>#VALUE!</v>
      </c>
      <c r="M139" s="22" t="str">
        <f>VLOOKUP(F139,Data!$A$2:$E$12,4,false)</f>
        <v>#N/A</v>
      </c>
      <c r="N139" s="22" t="str">
        <f>VLOOKUP(F139,Data!$A$2:$E$12,5,false)</f>
        <v>#N/A</v>
      </c>
    </row>
    <row r="140" ht="15.75" hidden="1" customHeight="1">
      <c r="A140" s="27" t="str">
        <f>IFERROR(__xludf.DUMMYFUNCTION("""COMPUTED_VALUE"""),"T75")</f>
        <v>T75</v>
      </c>
      <c r="B140" s="27" t="str">
        <f>IFERROR(__xludf.DUMMYFUNCTION("""COMPUTED_VALUE"""),"Európa ")</f>
        <v>Európa </v>
      </c>
      <c r="C140" s="27"/>
      <c r="D140" s="28" t="str">
        <f>IFERROR(__xludf.DUMMYFUNCTION("""COMPUTED_VALUE"""),"https://www.youtube.com/watch?v=dibOoBZySNw")</f>
        <v>https://www.youtube.com/watch?v=dibOoBZySNw</v>
      </c>
      <c r="E140" s="28" t="str">
        <f>IFERROR(__xludf.DUMMYFUNCTION("""COMPUTED_VALUE"""),"https://www.youtube.com/watch?v=M0YZTOqtHbY")</f>
        <v>https://www.youtube.com/watch?v=M0YZTOqtHbY</v>
      </c>
      <c r="F140" s="27"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c r="G140" s="27" t="str">
        <f>IFERROR(__xludf.DUMMYFUNCTION("""COMPUTED_VALUE"""),":)")</f>
        <v>:)</v>
      </c>
      <c r="H140" s="22">
        <f t="shared" ref="H140:I140" si="140">LEN(D140)</f>
        <v>43</v>
      </c>
      <c r="I140" s="22">
        <f t="shared" si="140"/>
        <v>43</v>
      </c>
      <c r="J140" s="12">
        <f t="shared" si="3"/>
        <v>1</v>
      </c>
      <c r="K140" s="12" t="str">
        <f>VLOOKUP(F140,Data!$A$2:$C$12,3,false)</f>
        <v>#N/A</v>
      </c>
      <c r="L140" s="12" t="str">
        <f>IF(G140,Data!$G$4,Data!$G$5)</f>
        <v>#VALUE!</v>
      </c>
      <c r="M140" s="22" t="str">
        <f>VLOOKUP(F140,Data!$A$2:$E$12,4,false)</f>
        <v>#N/A</v>
      </c>
      <c r="N140" s="22" t="str">
        <f>VLOOKUP(F140,Data!$A$2:$E$12,5,false)</f>
        <v>#N/A</v>
      </c>
    </row>
    <row r="141" ht="15.75" hidden="1" customHeight="1">
      <c r="A141" s="27" t="str">
        <f>IFERROR(__xludf.DUMMYFUNCTION("""COMPUTED_VALUE"""),"T76")</f>
        <v>T76</v>
      </c>
      <c r="B141" s="27" t="str">
        <f>IFERROR(__xludf.DUMMYFUNCTION("""COMPUTED_VALUE"""),"Amikor elmentél tőlem")</f>
        <v>Amikor elmentél tőlem</v>
      </c>
      <c r="C141" s="27"/>
      <c r="D141" s="28" t="str">
        <f>IFERROR(__xludf.DUMMYFUNCTION("""COMPUTED_VALUE"""),"https://www.youtube.com/watch?v=IrKGxPwozFE")</f>
        <v>https://www.youtube.com/watch?v=IrKGxPwozFE</v>
      </c>
      <c r="E141" s="28" t="str">
        <f>IFERROR(__xludf.DUMMYFUNCTION("""COMPUTED_VALUE"""),"https://www.youtube.com/watch?v=IEdWxlB8oGU")</f>
        <v>https://www.youtube.com/watch?v=IEdWxlB8oGU</v>
      </c>
      <c r="F141" s="27"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c r="G141" s="27" t="str">
        <f>IFERROR(__xludf.DUMMYFUNCTION("""COMPUTED_VALUE"""),":)")</f>
        <v>:)</v>
      </c>
      <c r="H141" s="22">
        <f t="shared" ref="H141:I141" si="141">LEN(D141)</f>
        <v>43</v>
      </c>
      <c r="I141" s="22">
        <f t="shared" si="141"/>
        <v>43</v>
      </c>
      <c r="J141" s="12">
        <f t="shared" si="3"/>
        <v>1</v>
      </c>
      <c r="K141" s="12" t="str">
        <f>VLOOKUP(F141,Data!$A$2:$C$12,3,false)</f>
        <v>#N/A</v>
      </c>
      <c r="L141" s="12" t="str">
        <f>IF(G141,Data!$G$4,Data!$G$5)</f>
        <v>#VALUE!</v>
      </c>
      <c r="M141" s="22" t="str">
        <f>VLOOKUP(F141,Data!$A$2:$E$12,4,false)</f>
        <v>#N/A</v>
      </c>
      <c r="N141" s="22" t="str">
        <f>VLOOKUP(F141,Data!$A$2:$E$12,5,false)</f>
        <v>#N/A</v>
      </c>
    </row>
    <row r="142" ht="15.75" hidden="1" customHeight="1">
      <c r="A142" s="27" t="str">
        <f>IFERROR(__xludf.DUMMYFUNCTION("""COMPUTED_VALUE"""),"T77")</f>
        <v>T77</v>
      </c>
      <c r="B142" s="27" t="str">
        <f>IFERROR(__xludf.DUMMYFUNCTION("""COMPUTED_VALUE"""),"Apám hitte")</f>
        <v>Apám hitte</v>
      </c>
      <c r="C142" s="27" t="str">
        <f>IFERROR(__xludf.DUMMYFUNCTION("""COMPUTED_VALUE"""),"(1/2)")</f>
        <v>(1/2)</v>
      </c>
      <c r="D142" s="28" t="str">
        <f>IFERROR(__xludf.DUMMYFUNCTION("""COMPUTED_VALUE"""),"https://www.youtube.com/watch?v=iKbnFchYWIo")</f>
        <v>https://www.youtube.com/watch?v=iKbnFchYWIo</v>
      </c>
      <c r="E142" s="28" t="str">
        <f>IFERROR(__xludf.DUMMYFUNCTION("""COMPUTED_VALUE"""),"https://www.youtube.com/watch?v=X1e3rhz4G7U")</f>
        <v>https://www.youtube.com/watch?v=X1e3rhz4G7U</v>
      </c>
      <c r="F142" s="27"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c r="G142" s="27" t="str">
        <f>IFERROR(__xludf.DUMMYFUNCTION("""COMPUTED_VALUE"""),":)")</f>
        <v>:)</v>
      </c>
      <c r="H142" s="22">
        <f t="shared" ref="H142:I142" si="142">LEN(D142)</f>
        <v>43</v>
      </c>
      <c r="I142" s="22">
        <f t="shared" si="142"/>
        <v>43</v>
      </c>
      <c r="J142" s="12">
        <f t="shared" si="3"/>
        <v>1</v>
      </c>
      <c r="K142" s="12" t="str">
        <f>VLOOKUP(F142,Data!$A$2:$C$12,3,false)</f>
        <v>#N/A</v>
      </c>
      <c r="L142" s="12" t="str">
        <f>IF(G142,Data!$G$4,Data!$G$5)</f>
        <v>#VALUE!</v>
      </c>
      <c r="M142" s="22" t="str">
        <f>VLOOKUP(F142,Data!$A$2:$E$12,4,false)</f>
        <v>#N/A</v>
      </c>
      <c r="N142" s="22" t="str">
        <f>VLOOKUP(F142,Data!$A$2:$E$12,5,false)</f>
        <v>#N/A</v>
      </c>
    </row>
    <row r="143" ht="15.75" hidden="1" customHeight="1">
      <c r="A143" s="27" t="str">
        <f>IFERROR(__xludf.DUMMYFUNCTION("""COMPUTED_VALUE"""),"T77")</f>
        <v>T77</v>
      </c>
      <c r="B143" s="27" t="str">
        <f>IFERROR(__xludf.DUMMYFUNCTION("""COMPUTED_VALUE"""),"Apám hitte")</f>
        <v>Apám hitte</v>
      </c>
      <c r="C143" s="27" t="str">
        <f>IFERROR(__xludf.DUMMYFUNCTION("""COMPUTED_VALUE"""),"(2/2)")</f>
        <v>(2/2)</v>
      </c>
      <c r="D143" s="28" t="str">
        <f>IFERROR(__xludf.DUMMYFUNCTION("""COMPUTED_VALUE"""),"https://www.youtube.com/watch?v=iKbnFchYWIo")</f>
        <v>https://www.youtube.com/watch?v=iKbnFchYWIo</v>
      </c>
      <c r="E143" s="28" t="str">
        <f>IFERROR(__xludf.DUMMYFUNCTION("""COMPUTED_VALUE"""),"https://www.youtube.com/watch?v=X1e3rhz4G7U")</f>
        <v>https://www.youtube.com/watch?v=X1e3rhz4G7U</v>
      </c>
      <c r="F143" s="27" t="str">
        <f>IFERROR(__xludf.DUMMYFUNCTION("""COMPUTED_VALUE"""),"   G               C         Am
Tü rü-rü-rü-rü rü-rü-rü-rü-rü
       Dm7    E7       Am
Azt hiszem ez így van jól.
          C                         E7    Am
Na na-na-na na-na-na-na-na-na na na na-na-na
          C                         E7     Am
Na"&amp;" na-na-na na-na-na-na-na-na na na na-na-na.....
                              C
Én is hiszek egy-két szép dologban,
                   E7      Am
Hiszek a dalban, a dalban, a dalban.
Am                      C
És én hiszek a város zajában,
              "&amp;"E7        Am
És én hiszek benne, s magamban.
                          C
És én hiszek a mikrobarázdában,
                E7      Am
És én hiszek a táguló világban.
                      C
És én hiszek a lézersugárban,
                 E         Am
És én h"&amp;"iszek az ezredfordulóban.
                         C
És én hiszek a kvadrofóniában,
               E7           Am
És én hiszek a fegyver halálában.
                             C
És én hiszek a folyóban s a hídban,
             E7              Am
És én h"&amp;"iszek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c r="G143" s="27" t="str">
        <f>IFERROR(__xludf.DUMMYFUNCTION("""COMPUTED_VALUE"""),":)")</f>
        <v>:)</v>
      </c>
      <c r="H143" s="22">
        <f t="shared" ref="H143:I143" si="143">LEN(D143)</f>
        <v>43</v>
      </c>
      <c r="I143" s="22">
        <f t="shared" si="143"/>
        <v>43</v>
      </c>
      <c r="J143" s="12">
        <f t="shared" si="3"/>
        <v>1</v>
      </c>
      <c r="K143" s="12" t="str">
        <f>VLOOKUP(F143,Data!$A$2:$C$12,3,false)</f>
        <v>#N/A</v>
      </c>
      <c r="L143" s="12" t="str">
        <f>IF(G143,Data!$G$4,Data!$G$5)</f>
        <v>#VALUE!</v>
      </c>
      <c r="M143" s="22" t="str">
        <f>VLOOKUP(F143,Data!$A$2:$E$12,4,false)</f>
        <v>#N/A</v>
      </c>
      <c r="N143" s="22" t="str">
        <f>VLOOKUP(F143,Data!$A$2:$E$12,5,false)</f>
        <v>#N/A</v>
      </c>
    </row>
    <row r="144" ht="15.75" hidden="1" customHeight="1">
      <c r="A144" s="27" t="str">
        <f>IFERROR(__xludf.DUMMYFUNCTION("""COMPUTED_VALUE"""),"T78")</f>
        <v>T78</v>
      </c>
      <c r="B144" s="27" t="str">
        <f>IFERROR(__xludf.DUMMYFUNCTION("""COMPUTED_VALUE"""),"Kócos kis ördögök")</f>
        <v>Kócos kis ördögök</v>
      </c>
      <c r="C144" s="27"/>
      <c r="D144" s="28" t="str">
        <f>IFERROR(__xludf.DUMMYFUNCTION("""COMPUTED_VALUE"""),"https://www.youtube.com/watch?v=POjMUHEhbEg")</f>
        <v>https://www.youtube.com/watch?v=POjMUHEhbEg</v>
      </c>
      <c r="E144" s="28" t="str">
        <f>IFERROR(__xludf.DUMMYFUNCTION("""COMPUTED_VALUE"""),"https://www.youtube.com/watch?v=ARcJXy1qd-8")</f>
        <v>https://www.youtube.com/watch?v=ARcJXy1qd-8</v>
      </c>
      <c r="F144" s="27"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c r="G144" s="27" t="str">
        <f>IFERROR(__xludf.DUMMYFUNCTION("""COMPUTED_VALUE"""),":)")</f>
        <v>:)</v>
      </c>
      <c r="H144" s="22">
        <f t="shared" ref="H144:I144" si="144">LEN(D144)</f>
        <v>43</v>
      </c>
      <c r="I144" s="22">
        <f t="shared" si="144"/>
        <v>43</v>
      </c>
      <c r="J144" s="12">
        <f t="shared" si="3"/>
        <v>1</v>
      </c>
      <c r="K144" s="12" t="str">
        <f>VLOOKUP(F144,Data!$A$2:$C$12,3,false)</f>
        <v>#N/A</v>
      </c>
      <c r="L144" s="12" t="str">
        <f>IF(G144,Data!$G$4,Data!$G$5)</f>
        <v>#VALUE!</v>
      </c>
      <c r="M144" s="22" t="str">
        <f>VLOOKUP(F144,Data!$A$2:$E$12,4,false)</f>
        <v>#N/A</v>
      </c>
      <c r="N144" s="22" t="str">
        <f>VLOOKUP(F144,Data!$A$2:$E$12,5,false)</f>
        <v>#N/A</v>
      </c>
    </row>
    <row r="145" ht="15.75" hidden="1" customHeight="1">
      <c r="A145" s="27" t="str">
        <f>IFERROR(__xludf.DUMMYFUNCTION("""COMPUTED_VALUE"""),"T79")</f>
        <v>T79</v>
      </c>
      <c r="B145" s="27" t="str">
        <f>IFERROR(__xludf.DUMMYFUNCTION("""COMPUTED_VALUE"""),"Tihany")</f>
        <v>Tihany</v>
      </c>
      <c r="C145" s="27"/>
      <c r="D145" s="28" t="str">
        <f>IFERROR(__xludf.DUMMYFUNCTION("""COMPUTED_VALUE"""),"https://www.youtube.com/watch?v=NcpHni_B5iU")</f>
        <v>https://www.youtube.com/watch?v=NcpHni_B5iU</v>
      </c>
      <c r="E145" s="28" t="str">
        <f>IFERROR(__xludf.DUMMYFUNCTION("""COMPUTED_VALUE"""),"https://www.youtube.com/watch?v=5wAsgFS9czQ")</f>
        <v>https://www.youtube.com/watch?v=5wAsgFS9czQ</v>
      </c>
      <c r="F145" s="27"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c r="G145" s="27" t="str">
        <f>IFERROR(__xludf.DUMMYFUNCTION("""COMPUTED_VALUE"""),":)")</f>
        <v>:)</v>
      </c>
      <c r="H145" s="22">
        <f t="shared" ref="H145:I145" si="145">LEN(D145)</f>
        <v>43</v>
      </c>
      <c r="I145" s="22">
        <f t="shared" si="145"/>
        <v>43</v>
      </c>
      <c r="J145" s="12">
        <f t="shared" si="3"/>
        <v>1</v>
      </c>
      <c r="K145" s="12" t="str">
        <f>VLOOKUP(F145,Data!$A$2:$C$12,3,false)</f>
        <v>#N/A</v>
      </c>
      <c r="L145" s="12" t="str">
        <f>IF(G145,Data!$G$4,Data!$G$5)</f>
        <v>#VALUE!</v>
      </c>
      <c r="M145" s="22" t="str">
        <f>VLOOKUP(F145,Data!$A$2:$E$12,4,false)</f>
        <v>#N/A</v>
      </c>
      <c r="N145" s="22" t="str">
        <f>VLOOKUP(F145,Data!$A$2:$E$12,5,false)</f>
        <v>#N/A</v>
      </c>
    </row>
    <row r="146" ht="15.75" hidden="1" customHeight="1">
      <c r="A146" s="27" t="str">
        <f>IFERROR(__xludf.DUMMYFUNCTION("""COMPUTED_VALUE"""),"V01")</f>
        <v>V01</v>
      </c>
      <c r="B146" s="27" t="str">
        <f>IFERROR(__xludf.DUMMYFUNCTION("""COMPUTED_VALUE"""),"Sijáhámbá")</f>
        <v>Sijáhámbá</v>
      </c>
      <c r="C146" s="27"/>
      <c r="D146" s="28" t="str">
        <f>IFERROR(__xludf.DUMMYFUNCTION("""COMPUTED_VALUE"""),"https://www.youtube.com/watch?v=QGOiANtGmhE")</f>
        <v>https://www.youtube.com/watch?v=QGOiANtGmhE</v>
      </c>
      <c r="E146" s="27" t="str">
        <f>IFERROR(__xludf.DUMMYFUNCTION("""COMPUTED_VALUE"""),"-")</f>
        <v>-</v>
      </c>
      <c r="F146" s="27"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c r="G146" s="27" t="str">
        <f>IFERROR(__xludf.DUMMYFUNCTION("""COMPUTED_VALUE"""),":)")</f>
        <v>:)</v>
      </c>
      <c r="H146" s="22">
        <f t="shared" ref="H146:I146" si="146">LEN(D146)</f>
        <v>43</v>
      </c>
      <c r="I146" s="22">
        <f t="shared" si="146"/>
        <v>1</v>
      </c>
      <c r="J146" s="12">
        <f t="shared" si="3"/>
        <v>1</v>
      </c>
      <c r="K146" s="12" t="str">
        <f>VLOOKUP(F146,Data!$A$2:$C$12,3,false)</f>
        <v>#N/A</v>
      </c>
      <c r="L146" s="12" t="str">
        <f>IF(G146,Data!$G$4,Data!$G$5)</f>
        <v>#VALUE!</v>
      </c>
      <c r="M146" s="22" t="str">
        <f>VLOOKUP(F146,Data!$A$2:$E$12,4,false)</f>
        <v>#N/A</v>
      </c>
      <c r="N146" s="22" t="str">
        <f>VLOOKUP(F146,Data!$A$2:$E$12,5,false)</f>
        <v>#N/A</v>
      </c>
    </row>
    <row r="147" ht="15.75" hidden="1" customHeight="1">
      <c r="A147" s="27" t="str">
        <f>IFERROR(__xludf.DUMMYFUNCTION("""COMPUTED_VALUE"""),"V02")</f>
        <v>V02</v>
      </c>
      <c r="B147" s="27" t="str">
        <f>IFERROR(__xludf.DUMMYFUNCTION("""COMPUTED_VALUE"""),"Shosholozá")</f>
        <v>Shosholozá</v>
      </c>
      <c r="C147" s="27"/>
      <c r="D147" s="28" t="str">
        <f>IFERROR(__xludf.DUMMYFUNCTION("""COMPUTED_VALUE"""),"https://www.youtube.com/watch?v=2aFlQS4k3wo")</f>
        <v>https://www.youtube.com/watch?v=2aFlQS4k3wo</v>
      </c>
      <c r="E147" s="28" t="str">
        <f>IFERROR(__xludf.DUMMYFUNCTION("""COMPUTED_VALUE"""),"https://www.youtube.com/watch?v=2aFlQS4k3wo")</f>
        <v>https://www.youtube.com/watch?v=2aFlQS4k3wo</v>
      </c>
      <c r="F147" s="27"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c r="G147" s="27" t="str">
        <f>IFERROR(__xludf.DUMMYFUNCTION("""COMPUTED_VALUE"""),":)")</f>
        <v>:)</v>
      </c>
      <c r="H147" s="22">
        <f t="shared" ref="H147:I147" si="147">LEN(D147)</f>
        <v>43</v>
      </c>
      <c r="I147" s="22">
        <f t="shared" si="147"/>
        <v>43</v>
      </c>
      <c r="J147" s="12">
        <f t="shared" si="3"/>
        <v>1</v>
      </c>
      <c r="K147" s="12" t="str">
        <f>VLOOKUP(F147,Data!$A$2:$C$12,3,false)</f>
        <v>#N/A</v>
      </c>
      <c r="L147" s="12" t="str">
        <f>IF(G147,Data!$G$4,Data!$G$5)</f>
        <v>#VALUE!</v>
      </c>
      <c r="M147" s="22" t="str">
        <f>VLOOKUP(F147,Data!$A$2:$E$12,4,false)</f>
        <v>#N/A</v>
      </c>
      <c r="N147" s="22" t="str">
        <f>VLOOKUP(F147,Data!$A$2:$E$12,5,false)</f>
        <v>#N/A</v>
      </c>
    </row>
    <row r="148" ht="15.75" hidden="1" customHeight="1">
      <c r="A148" s="27" t="str">
        <f>IFERROR(__xludf.DUMMYFUNCTION("""COMPUTED_VALUE"""),"ZS01")</f>
        <v>ZS01</v>
      </c>
      <c r="B148" s="27" t="str">
        <f>IFERROR(__xludf.DUMMYFUNCTION("""COMPUTED_VALUE"""),"Ádon olam")</f>
        <v>Ádon olam</v>
      </c>
      <c r="C148" s="27" t="str">
        <f>IFERROR(__xludf.DUMMYFUNCTION("""COMPUTED_VALUE"""),"אדון עולם")</f>
        <v>אדון עולם</v>
      </c>
      <c r="D148" s="28" t="str">
        <f>IFERROR(__xludf.DUMMYFUNCTION("""COMPUTED_VALUE"""),"https://www.youtube.com/watch?v=nvOtcWEFWo8")</f>
        <v>https://www.youtube.com/watch?v=nvOtcWEFWo8</v>
      </c>
      <c r="E148" s="28" t="str">
        <f>IFERROR(__xludf.DUMMYFUNCTION("""COMPUTED_VALUE"""),"https://www.youtube.com/watch?v=BA6KpR8ToUQ")</f>
        <v>https://www.youtube.com/watch?v=BA6KpR8ToUQ</v>
      </c>
      <c r="F148" s="27"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c r="G148" s="27" t="str">
        <f>IFERROR(__xludf.DUMMYFUNCTION("""COMPUTED_VALUE"""),":)")</f>
        <v>:)</v>
      </c>
      <c r="H148" s="22">
        <f t="shared" ref="H148:I148" si="148">LEN(D148)</f>
        <v>43</v>
      </c>
      <c r="I148" s="22">
        <f t="shared" si="148"/>
        <v>43</v>
      </c>
      <c r="J148" s="12">
        <f t="shared" si="3"/>
        <v>1</v>
      </c>
      <c r="K148" s="12" t="str">
        <f>VLOOKUP(F148,Data!$A$2:$C$12,3,false)</f>
        <v>#N/A</v>
      </c>
      <c r="L148" s="12" t="str">
        <f>IF(G148,Data!$G$4,Data!$G$5)</f>
        <v>#VALUE!</v>
      </c>
      <c r="M148" s="22" t="str">
        <f>VLOOKUP(F148,Data!$A$2:$E$12,4,false)</f>
        <v>#N/A</v>
      </c>
      <c r="N148" s="22" t="str">
        <f>VLOOKUP(F148,Data!$A$2:$E$12,5,false)</f>
        <v>#N/A</v>
      </c>
    </row>
    <row r="149" ht="15.75" hidden="1" customHeight="1">
      <c r="A149" s="27" t="str">
        <f>IFERROR(__xludf.DUMMYFUNCTION("""COMPUTED_VALUE"""),"ZS02")</f>
        <v>ZS02</v>
      </c>
      <c r="B149" s="27" t="str">
        <f>IFERROR(__xludf.DUMMYFUNCTION("""COMPUTED_VALUE"""),"Máoz cur")</f>
        <v>Máoz cur</v>
      </c>
      <c r="C149" s="27" t="str">
        <f>IFERROR(__xludf.DUMMYFUNCTION("""COMPUTED_VALUE"""),"מעוז צור")</f>
        <v>מעוז צור</v>
      </c>
      <c r="D149" s="28" t="str">
        <f>IFERROR(__xludf.DUMMYFUNCTION("""COMPUTED_VALUE"""),"https://www.youtube.com/watch?v=nlug8gnnlyo&amp;pp=ygURbcOhb3ogdHp1ciBsYXVkZXLSBwkJsAkBhyohjO8%3D")</f>
        <v>https://www.youtube.com/watch?v=nlug8gnnlyo&amp;pp=ygURbcOhb3ogdHp1ciBsYXVkZXLSBwkJsAkBhyohjO8%3D</v>
      </c>
      <c r="E149" s="28" t="str">
        <f>IFERROR(__xludf.DUMMYFUNCTION("""COMPUTED_VALUE"""),"https://www.youtube.com/watch?v=6l5BtEw3OmI")</f>
        <v>https://www.youtube.com/watch?v=6l5BtEw3OmI</v>
      </c>
      <c r="F149" s="27"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c r="G149" s="27" t="str">
        <f>IFERROR(__xludf.DUMMYFUNCTION("""COMPUTED_VALUE"""),":)")</f>
        <v>:)</v>
      </c>
      <c r="H149" s="22">
        <f t="shared" ref="H149:I149" si="149">LEN(D149)</f>
        <v>93</v>
      </c>
      <c r="I149" s="22">
        <f t="shared" si="149"/>
        <v>43</v>
      </c>
      <c r="J149" s="12">
        <f t="shared" si="3"/>
        <v>1</v>
      </c>
      <c r="K149" s="12" t="str">
        <f>VLOOKUP(F149,Data!$A$2:$C$12,3,false)</f>
        <v>#N/A</v>
      </c>
      <c r="L149" s="12" t="str">
        <f>IF(G149,Data!$G$4,Data!$G$5)</f>
        <v>#VALUE!</v>
      </c>
      <c r="M149" s="22" t="str">
        <f>VLOOKUP(F149,Data!$A$2:$E$12,4,false)</f>
        <v>#N/A</v>
      </c>
      <c r="N149" s="22" t="str">
        <f>VLOOKUP(F149,Data!$A$2:$E$12,5,false)</f>
        <v>#N/A</v>
      </c>
    </row>
    <row r="150" ht="15.75" customHeight="1">
      <c r="A150" s="27" t="str">
        <f>IFERROR(__xludf.DUMMYFUNCTION("""COMPUTED_VALUE"""),"ZS03")</f>
        <v>ZS03</v>
      </c>
      <c r="B150" s="27" t="str">
        <f>IFERROR(__xludf.DUMMYFUNCTION("""COMPUTED_VALUE"""),"Élt egyszer egy gonosz ember")</f>
        <v>Élt egyszer egy gonosz ember</v>
      </c>
      <c r="C150" s="27"/>
      <c r="D150" s="28" t="str">
        <f>IFERROR(__xludf.DUMMYFUNCTION("""COMPUTED_VALUE"""),"https://www.youtube.com/watch?v=G8LNGVs5Udk&amp;pp=ygURbGF1ZGVyIGphdm5lIMOpbHQ%3D")</f>
        <v>https://www.youtube.com/watch?v=G8LNGVs5Udk&amp;pp=ygURbGF1ZGVyIGphdm5lIMOpbHQ%3D</v>
      </c>
      <c r="E150" s="27" t="str">
        <f>IFERROR(__xludf.DUMMYFUNCTION("""COMPUTED_VALUE"""),"-")</f>
        <v>-</v>
      </c>
      <c r="F150" s="27"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c r="G150" s="27" t="str">
        <f>IFERROR(__xludf.DUMMYFUNCTION("""COMPUTED_VALUE"""),":)")</f>
        <v>:)</v>
      </c>
      <c r="H150" s="22">
        <f t="shared" ref="H150:I150" si="150">LEN(D150)</f>
        <v>77</v>
      </c>
      <c r="I150" s="22">
        <f t="shared" si="150"/>
        <v>1</v>
      </c>
      <c r="J150" s="12">
        <f t="shared" si="3"/>
        <v>1</v>
      </c>
      <c r="K150" s="12" t="str">
        <f>VLOOKUP(F150,Data!$A$2:$C$12,3,false)</f>
        <v>#N/A</v>
      </c>
      <c r="L150" s="12" t="str">
        <f>IF(G150,Data!$G$4,Data!$G$5)</f>
        <v>#VALUE!</v>
      </c>
      <c r="M150" s="22" t="str">
        <f>VLOOKUP(F150,Data!$A$2:$E$12,4,false)</f>
        <v>#N/A</v>
      </c>
      <c r="N150" s="22" t="str">
        <f>VLOOKUP(F150,Data!$A$2:$E$12,5,false)</f>
        <v>#N/A</v>
      </c>
    </row>
    <row r="151" ht="15.75" hidden="1" customHeight="1">
      <c r="A151" s="27" t="str">
        <f>IFERROR(__xludf.DUMMYFUNCTION("""COMPUTED_VALUE"""),"ZS04")</f>
        <v>ZS04</v>
      </c>
      <c r="B151" s="27" t="str">
        <f>IFERROR(__xludf.DUMMYFUNCTION("""COMPUTED_VALUE"""),"Szevivon, szov szov szov")</f>
        <v>Szevivon, szov szov szov</v>
      </c>
      <c r="C151" s="27" t="str">
        <f>IFERROR(__xludf.DUMMYFUNCTION("""COMPUTED_VALUE"""),"סביבון סוב סוב סוב")</f>
        <v>סביבון סוב סוב סוב</v>
      </c>
      <c r="D151" s="28" t="str">
        <f>IFERROR(__xludf.DUMMYFUNCTION("""COMPUTED_VALUE"""),"https://www.youtube.com/watch?v=v_oPPJhqAOU")</f>
        <v>https://www.youtube.com/watch?v=v_oPPJhqAOU</v>
      </c>
      <c r="E151" s="28" t="str">
        <f>IFERROR(__xludf.DUMMYFUNCTION("""COMPUTED_VALUE"""),"https://www.youtube.com/watch?v=v_oPPJhqAOU")</f>
        <v>https://www.youtube.com/watch?v=v_oPPJhqAOU</v>
      </c>
      <c r="F151" s="27"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c r="G151" s="27" t="str">
        <f>IFERROR(__xludf.DUMMYFUNCTION("""COMPUTED_VALUE"""),":)")</f>
        <v>:)</v>
      </c>
      <c r="H151" s="22">
        <f t="shared" ref="H151:I151" si="151">LEN(D151)</f>
        <v>43</v>
      </c>
      <c r="I151" s="22">
        <f t="shared" si="151"/>
        <v>43</v>
      </c>
      <c r="J151" s="12">
        <f t="shared" si="3"/>
        <v>1</v>
      </c>
      <c r="K151" s="12" t="str">
        <f>VLOOKUP(F151,Data!$A$2:$C$12,3,false)</f>
        <v>#N/A</v>
      </c>
      <c r="L151" s="12" t="str">
        <f>IF(G151,Data!$G$4,Data!$G$5)</f>
        <v>#VALUE!</v>
      </c>
      <c r="M151" s="22" t="str">
        <f>VLOOKUP(F151,Data!$A$2:$E$12,4,false)</f>
        <v>#N/A</v>
      </c>
      <c r="N151" s="22" t="str">
        <f>VLOOKUP(F151,Data!$A$2:$E$12,5,false)</f>
        <v>#N/A</v>
      </c>
    </row>
    <row r="152" ht="15.75" hidden="1" customHeight="1">
      <c r="A152" s="27" t="str">
        <f>IFERROR(__xludf.DUMMYFUNCTION("""COMPUTED_VALUE"""),"ZS05")</f>
        <v>ZS05</v>
      </c>
      <c r="B152" s="27" t="str">
        <f>IFERROR(__xludf.DUMMYFUNCTION("""COMPUTED_VALUE"""),"Má nistáná")</f>
        <v>Má nistáná</v>
      </c>
      <c r="C152" s="27" t="str">
        <f>IFERROR(__xludf.DUMMYFUNCTION("""COMPUTED_VALUE"""),"מה נשתנה")</f>
        <v>מה נשתנה</v>
      </c>
      <c r="D152" s="28" t="str">
        <f>IFERROR(__xludf.DUMMYFUNCTION("""COMPUTED_VALUE"""),"https://www.youtube.com/watch?v=N3_pmjqYXG4")</f>
        <v>https://www.youtube.com/watch?v=N3_pmjqYXG4</v>
      </c>
      <c r="E152" s="27" t="str">
        <f>IFERROR(__xludf.DUMMYFUNCTION("""COMPUTED_VALUE"""),"-")</f>
        <v>-</v>
      </c>
      <c r="F152" s="27"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c r="G152" s="27" t="str">
        <f>IFERROR(__xludf.DUMMYFUNCTION("""COMPUTED_VALUE"""),":)")</f>
        <v>:)</v>
      </c>
      <c r="H152" s="22">
        <f t="shared" ref="H152:I152" si="152">LEN(D152)</f>
        <v>43</v>
      </c>
      <c r="I152" s="22">
        <f t="shared" si="152"/>
        <v>1</v>
      </c>
      <c r="J152" s="12">
        <f t="shared" si="3"/>
        <v>1</v>
      </c>
      <c r="K152" s="12" t="str">
        <f>VLOOKUP(F152,Data!$A$2:$C$12,3,false)</f>
        <v>#N/A</v>
      </c>
      <c r="L152" s="12" t="str">
        <f>IF(G152,Data!$G$4,Data!$G$5)</f>
        <v>#VALUE!</v>
      </c>
      <c r="M152" s="22" t="str">
        <f>VLOOKUP(F152,Data!$A$2:$E$12,4,false)</f>
        <v>#N/A</v>
      </c>
      <c r="N152" s="22" t="str">
        <f>VLOOKUP(F152,Data!$A$2:$E$12,5,false)</f>
        <v>#N/A</v>
      </c>
    </row>
    <row r="153" ht="15.75" hidden="1" customHeight="1">
      <c r="A153" s="27" t="str">
        <f>IFERROR(__xludf.DUMMYFUNCTION("""COMPUTED_VALUE"""),"ZS06")</f>
        <v>ZS06</v>
      </c>
      <c r="B153" s="27" t="str">
        <f>IFERROR(__xludf.DUMMYFUNCTION("""COMPUTED_VALUE"""),"Ilu ilu hociánu / Dájénu")</f>
        <v>Ilu ilu hociánu / Dájénu</v>
      </c>
      <c r="C153" s="27" t="str">
        <f>IFERROR(__xludf.DUMMYFUNCTION("""COMPUTED_VALUE"""),"אילו אילו הוציאנו/דיינו")</f>
        <v>אילו אילו הוציאנו/דיינו</v>
      </c>
      <c r="D153" s="28" t="str">
        <f>IFERROR(__xludf.DUMMYFUNCTION("""COMPUTED_VALUE"""),"https://www.youtube.com/watch?v=cl7pMI20T-0")</f>
        <v>https://www.youtube.com/watch?v=cl7pMI20T-0</v>
      </c>
      <c r="E153" s="27" t="str">
        <f>IFERROR(__xludf.DUMMYFUNCTION("""COMPUTED_VALUE"""),"-")</f>
        <v>-</v>
      </c>
      <c r="F153" s="27"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c r="G153" s="27" t="str">
        <f>IFERROR(__xludf.DUMMYFUNCTION("""COMPUTED_VALUE"""),":)")</f>
        <v>:)</v>
      </c>
      <c r="J153" s="12"/>
      <c r="K153" s="12"/>
      <c r="L153" s="12"/>
    </row>
    <row r="154" ht="15.75" hidden="1" customHeight="1">
      <c r="A154" s="27" t="str">
        <f>IFERROR(__xludf.DUMMYFUNCTION("""COMPUTED_VALUE"""),"ZS07")</f>
        <v>ZS07</v>
      </c>
      <c r="B154" s="27" t="str">
        <f>IFERROR(__xludf.DUMMYFUNCTION("""COMPUTED_VALUE"""),"Ehad mi jodeá")</f>
        <v>Ehad mi jodeá</v>
      </c>
      <c r="C154" s="27" t="str">
        <f>IFERROR(__xludf.DUMMYFUNCTION("""COMPUTED_VALUE"""),"אחד מי יודע")</f>
        <v>אחד מי יודע</v>
      </c>
      <c r="D154" s="28" t="str">
        <f>IFERROR(__xludf.DUMMYFUNCTION("""COMPUTED_VALUE"""),"https://www.youtube.com/watch?v=3ACKfzXMPTg")</f>
        <v>https://www.youtube.com/watch?v=3ACKfzXMPTg</v>
      </c>
      <c r="E154" s="27" t="str">
        <f>IFERROR(__xludf.DUMMYFUNCTION("""COMPUTED_VALUE"""),"-")</f>
        <v>-</v>
      </c>
      <c r="F154" s="27"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c r="G154" s="27" t="str">
        <f>IFERROR(__xludf.DUMMYFUNCTION("""COMPUTED_VALUE"""),":)")</f>
        <v>:)</v>
      </c>
      <c r="J154" s="12"/>
      <c r="K154" s="12"/>
      <c r="L154" s="12"/>
    </row>
    <row r="155" ht="15.75" hidden="1" customHeight="1">
      <c r="A155" s="27" t="str">
        <f>IFERROR(__xludf.DUMMYFUNCTION("""COMPUTED_VALUE"""),"ZS08")</f>
        <v>ZS08</v>
      </c>
      <c r="B155" s="27" t="str">
        <f>IFERROR(__xludf.DUMMYFUNCTION("""COMPUTED_VALUE"""),"Osze Sálom")</f>
        <v>Osze Sálom</v>
      </c>
      <c r="C155" s="27" t="str">
        <f>IFERROR(__xludf.DUMMYFUNCTION("""COMPUTED_VALUE"""),"עושה שלום")</f>
        <v>עושה שלום</v>
      </c>
      <c r="D155" s="28" t="str">
        <f>IFERROR(__xludf.DUMMYFUNCTION("""COMPUTED_VALUE"""),"https://www.youtube.com/watch?v=lAEJXdfOLAw")</f>
        <v>https://www.youtube.com/watch?v=lAEJXdfOLAw</v>
      </c>
      <c r="E155" s="27" t="str">
        <f>IFERROR(__xludf.DUMMYFUNCTION("""COMPUTED_VALUE"""),"-")</f>
        <v>-</v>
      </c>
      <c r="F155" s="27"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c r="G155" s="27" t="str">
        <f>IFERROR(__xludf.DUMMYFUNCTION("""COMPUTED_VALUE"""),":)")</f>
        <v>:)</v>
      </c>
      <c r="J155" s="12"/>
      <c r="K155" s="12"/>
      <c r="L155" s="12"/>
    </row>
    <row r="156" ht="15.75" hidden="1" customHeight="1">
      <c r="A156" s="27" t="str">
        <f>IFERROR(__xludf.DUMMYFUNCTION("""COMPUTED_VALUE"""),"ZS09")</f>
        <v>ZS09</v>
      </c>
      <c r="B156" s="27" t="str">
        <f>IFERROR(__xludf.DUMMYFUNCTION("""COMPUTED_VALUE"""),"Sálom álehem")</f>
        <v>Sálom álehem</v>
      </c>
      <c r="C156" s="27" t="str">
        <f>IFERROR(__xludf.DUMMYFUNCTION("""COMPUTED_VALUE"""),"שלום עליכם")</f>
        <v>שלום עליכם</v>
      </c>
      <c r="D156" s="28" t="str">
        <f>IFERROR(__xludf.DUMMYFUNCTION("""COMPUTED_VALUE"""),"https://www.youtube.com/watch?v=3vTLMWLyLIc")</f>
        <v>https://www.youtube.com/watch?v=3vTLMWLyLIc</v>
      </c>
      <c r="E156" s="27" t="str">
        <f>IFERROR(__xludf.DUMMYFUNCTION("""COMPUTED_VALUE"""),"-")</f>
        <v>-</v>
      </c>
      <c r="F156" s="27"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c r="G156" s="27" t="str">
        <f>IFERROR(__xludf.DUMMYFUNCTION("""COMPUTED_VALUE"""),":)")</f>
        <v>:)</v>
      </c>
      <c r="J156" s="12"/>
      <c r="K156" s="12"/>
      <c r="L156" s="12"/>
    </row>
    <row r="157" ht="15.75" hidden="1" customHeight="1">
      <c r="A157" s="27" t="str">
        <f>IFERROR(__xludf.DUMMYFUNCTION("""COMPUTED_VALUE"""),"ZS10")</f>
        <v>ZS10</v>
      </c>
      <c r="B157" s="27" t="str">
        <f>IFERROR(__xludf.DUMMYFUNCTION("""COMPUTED_VALUE"""),"Sábát Sálom")</f>
        <v>Sábát Sálom</v>
      </c>
      <c r="C157" s="27" t="str">
        <f>IFERROR(__xludf.DUMMYFUNCTION("""COMPUTED_VALUE"""),"שבת שלום")</f>
        <v>שבת שלום</v>
      </c>
      <c r="D157" s="28" t="str">
        <f>IFERROR(__xludf.DUMMYFUNCTION("""COMPUTED_VALUE"""),"https://www.youtube.com/watch?v=7dlassmGVOs")</f>
        <v>https://www.youtube.com/watch?v=7dlassmGVOs</v>
      </c>
      <c r="E157" s="28" t="str">
        <f>IFERROR(__xludf.DUMMYFUNCTION("""COMPUTED_VALUE"""),"https://www.youtube.com/watch?v=QvIQtXI3j3I")</f>
        <v>https://www.youtube.com/watch?v=QvIQtXI3j3I</v>
      </c>
      <c r="F157" s="27"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c r="G157" s="27" t="str">
        <f>IFERROR(__xludf.DUMMYFUNCTION("""COMPUTED_VALUE"""),":)")</f>
        <v>:)</v>
      </c>
      <c r="J157" s="12"/>
      <c r="K157" s="12"/>
      <c r="L157" s="12"/>
    </row>
    <row r="158" ht="15.75" hidden="1" customHeight="1">
      <c r="A158" s="27" t="str">
        <f>IFERROR(__xludf.DUMMYFUNCTION("""COMPUTED_VALUE"""),"ZS11")</f>
        <v>ZS11</v>
      </c>
      <c r="B158" s="27" t="str">
        <f>IFERROR(__xludf.DUMMYFUNCTION("""COMPUTED_VALUE"""),"Havdala")</f>
        <v>Havdala</v>
      </c>
      <c r="C158" s="27" t="str">
        <f>IFERROR(__xludf.DUMMYFUNCTION("""COMPUTED_VALUE"""),"הבדלה")</f>
        <v>הבדלה</v>
      </c>
      <c r="D158" s="28" t="str">
        <f>IFERROR(__xludf.DUMMYFUNCTION("""COMPUTED_VALUE"""),"https://www.youtube.com/watch?v=Gebsb-po8jY")</f>
        <v>https://www.youtube.com/watch?v=Gebsb-po8jY</v>
      </c>
      <c r="E158" s="27" t="str">
        <f>IFERROR(__xludf.DUMMYFUNCTION("""COMPUTED_VALUE"""),"-")</f>
        <v>-</v>
      </c>
      <c r="F158" s="27"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c r="G158" s="27" t="str">
        <f>IFERROR(__xludf.DUMMYFUNCTION("""COMPUTED_VALUE"""),":)")</f>
        <v>:)</v>
      </c>
      <c r="J158" s="12"/>
      <c r="K158" s="12"/>
      <c r="L158" s="12"/>
    </row>
    <row r="159" ht="15.75" hidden="1" customHeight="1">
      <c r="A159" s="27" t="str">
        <f>IFERROR(__xludf.DUMMYFUNCTION("""COMPUTED_VALUE"""),"ZS12")</f>
        <v>ZS12</v>
      </c>
      <c r="B159" s="27" t="str">
        <f>IFERROR(__xludf.DUMMYFUNCTION("""COMPUTED_VALUE"""),"Eliyahu Hanavi")</f>
        <v>Eliyahu Hanavi</v>
      </c>
      <c r="C159" s="27" t="str">
        <f>IFERROR(__xludf.DUMMYFUNCTION("""COMPUTED_VALUE"""),"אליהו הנביא")</f>
        <v>אליהו הנביא</v>
      </c>
      <c r="D159" s="28" t="str">
        <f>IFERROR(__xludf.DUMMYFUNCTION("""COMPUTED_VALUE"""),"https://www.youtube.com/watch?v=l30lgVThQyE")</f>
        <v>https://www.youtube.com/watch?v=l30lgVThQyE</v>
      </c>
      <c r="E159" s="27" t="str">
        <f>IFERROR(__xludf.DUMMYFUNCTION("""COMPUTED_VALUE"""),"-")</f>
        <v>-</v>
      </c>
      <c r="F159" s="27"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c r="G159" s="27" t="str">
        <f>IFERROR(__xludf.DUMMYFUNCTION("""COMPUTED_VALUE"""),":)")</f>
        <v>:)</v>
      </c>
      <c r="J159" s="12"/>
      <c r="K159" s="12"/>
      <c r="L159" s="12"/>
    </row>
    <row r="160" ht="15.75" hidden="1" customHeight="1">
      <c r="A160" s="27" t="str">
        <f>IFERROR(__xludf.DUMMYFUNCTION("""COMPUTED_VALUE"""),"ZS13")</f>
        <v>ZS13</v>
      </c>
      <c r="B160" s="27" t="str">
        <f>IFERROR(__xludf.DUMMYFUNCTION("""COMPUTED_VALUE"""),"Lehá Dodi")</f>
        <v>Lehá Dodi</v>
      </c>
      <c r="C160" s="27" t="str">
        <f>IFERROR(__xludf.DUMMYFUNCTION("""COMPUTED_VALUE"""),"לכה דודי")</f>
        <v>לכה דודי</v>
      </c>
      <c r="D160" s="28" t="str">
        <f>IFERROR(__xludf.DUMMYFUNCTION("""COMPUTED_VALUE"""),"https://www.youtube.com/watch?v=kLD5nPIDMrY&amp;pp=0gcJCbAJAYcqIYzv")</f>
        <v>https://www.youtube.com/watch?v=kLD5nPIDMrY&amp;pp=0gcJCbAJAYcqIYzv</v>
      </c>
      <c r="E160" s="28" t="str">
        <f>IFERROR(__xludf.DUMMYFUNCTION("""COMPUTED_VALUE"""),"https://www.youtube.com/watch?v=GPHImLW-duQ")</f>
        <v>https://www.youtube.com/watch?v=GPHImLW-duQ</v>
      </c>
      <c r="F160" s="27"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c r="G160" s="27" t="str">
        <f>IFERROR(__xludf.DUMMYFUNCTION("""COMPUTED_VALUE"""),":)")</f>
        <v>:)</v>
      </c>
      <c r="J160" s="12"/>
      <c r="K160" s="12"/>
      <c r="L160" s="12"/>
    </row>
    <row r="161" ht="15.75" hidden="1" customHeight="1">
      <c r="A161" s="27" t="str">
        <f>IFERROR(__xludf.DUMMYFUNCTION("""COMPUTED_VALUE"""),"ZS14")</f>
        <v>ZS14</v>
      </c>
      <c r="B161" s="27" t="str">
        <f>IFERROR(__xludf.DUMMYFUNCTION("""COMPUTED_VALUE"""),"Jedid Nefes")</f>
        <v>Jedid Nefes</v>
      </c>
      <c r="C161" s="27" t="str">
        <f>IFERROR(__xludf.DUMMYFUNCTION("""COMPUTED_VALUE"""),"ידיד נפש")</f>
        <v>ידיד נפש</v>
      </c>
      <c r="D161" s="28" t="str">
        <f>IFERROR(__xludf.DUMMYFUNCTION("""COMPUTED_VALUE"""),"https://www.youtube.com/watch?v=CeUPHHjecTk")</f>
        <v>https://www.youtube.com/watch?v=CeUPHHjecTk</v>
      </c>
      <c r="E161" s="27" t="str">
        <f>IFERROR(__xludf.DUMMYFUNCTION("""COMPUTED_VALUE"""),"-")</f>
        <v>-</v>
      </c>
      <c r="F161" s="27"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c r="G161" s="27" t="str">
        <f>IFERROR(__xludf.DUMMYFUNCTION("""COMPUTED_VALUE"""),":)")</f>
        <v>:)</v>
      </c>
      <c r="J161" s="12"/>
      <c r="K161" s="12"/>
      <c r="L161" s="12"/>
    </row>
    <row r="162" ht="15.75" hidden="1" customHeight="1">
      <c r="A162" s="27" t="str">
        <f>IFERROR(__xludf.DUMMYFUNCTION("""COMPUTED_VALUE"""),"ZS15")</f>
        <v>ZS15</v>
      </c>
      <c r="B162" s="27" t="str">
        <f>IFERROR(__xludf.DUMMYFUNCTION("""COMPUTED_VALUE"""),"Ávinu málkénu")</f>
        <v>Ávinu málkénu</v>
      </c>
      <c r="C162" s="27" t="str">
        <f>IFERROR(__xludf.DUMMYFUNCTION("""COMPUTED_VALUE"""),"אבינו מלכנו")</f>
        <v>אבינו מלכנו</v>
      </c>
      <c r="D162" s="28" t="str">
        <f>IFERROR(__xludf.DUMMYFUNCTION("""COMPUTED_VALUE"""),"https://www.youtube.com/watch?v=iw1r98XYsaQ")</f>
        <v>https://www.youtube.com/watch?v=iw1r98XYsaQ</v>
      </c>
      <c r="E162" s="27" t="str">
        <f>IFERROR(__xludf.DUMMYFUNCTION("""COMPUTED_VALUE"""),"-")</f>
        <v>-</v>
      </c>
      <c r="F162" s="27"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c r="G162" s="27" t="str">
        <f>IFERROR(__xludf.DUMMYFUNCTION("""COMPUTED_VALUE"""),":)")</f>
        <v>:)</v>
      </c>
      <c r="J162" s="12"/>
      <c r="K162" s="12"/>
      <c r="L162" s="12"/>
    </row>
    <row r="163" ht="15.75" hidden="1" customHeight="1">
      <c r="A163" s="27" t="str">
        <f>IFERROR(__xludf.DUMMYFUNCTION("""COMPUTED_VALUE"""),"ZS16")</f>
        <v>ZS16</v>
      </c>
      <c r="B163" s="27" t="str">
        <f>IFERROR(__xludf.DUMMYFUNCTION("""COMPUTED_VALUE"""),"Jemé háhánuká")</f>
        <v>Jemé háhánuká</v>
      </c>
      <c r="C163" s="27" t="str">
        <f>IFERROR(__xludf.DUMMYFUNCTION("""COMPUTED_VALUE"""),"ימי החנוכה")</f>
        <v>ימי החנוכה</v>
      </c>
      <c r="D163" s="28" t="str">
        <f>IFERROR(__xludf.DUMMYFUNCTION("""COMPUTED_VALUE"""),"https://www.youtube.com/watch?v=nYJmrYM1qls")</f>
        <v>https://www.youtube.com/watch?v=nYJmrYM1qls</v>
      </c>
      <c r="E163" s="27" t="str">
        <f>IFERROR(__xludf.DUMMYFUNCTION("""COMPUTED_VALUE"""),"-")</f>
        <v>-</v>
      </c>
      <c r="F163" s="27"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c r="G163" s="27" t="str">
        <f>IFERROR(__xludf.DUMMYFUNCTION("""COMPUTED_VALUE"""),":)")</f>
        <v>:)</v>
      </c>
      <c r="J163" s="12"/>
      <c r="K163" s="12"/>
      <c r="L163" s="12"/>
    </row>
    <row r="164" ht="15.75" hidden="1" customHeight="1">
      <c r="A164" s="27" t="str">
        <f>IFERROR(__xludf.DUMMYFUNCTION("""COMPUTED_VALUE"""),"ZS16")</f>
        <v>ZS16</v>
      </c>
      <c r="B164" s="27" t="str">
        <f>IFERROR(__xludf.DUMMYFUNCTION("""COMPUTED_VALUE"""),"Oh Hanukkah")</f>
        <v>Oh Hanukkah</v>
      </c>
      <c r="C164" s="27" t="str">
        <f>IFERROR(__xludf.DUMMYFUNCTION("""COMPUTED_VALUE"""),"או חנוכה")</f>
        <v>או חנוכה</v>
      </c>
      <c r="D164" s="28" t="str">
        <f>IFERROR(__xludf.DUMMYFUNCTION("""COMPUTED_VALUE"""),"https://www.youtube.com/watch?v=JfJufy7dpO0")</f>
        <v>https://www.youtube.com/watch?v=JfJufy7dpO0</v>
      </c>
      <c r="E164" s="28" t="str">
        <f>IFERROR(__xludf.DUMMYFUNCTION("""COMPUTED_VALUE"""),"https://www.youtube.com/watch?v=I6cJ3rQDr3k")</f>
        <v>https://www.youtube.com/watch?v=I6cJ3rQDr3k</v>
      </c>
      <c r="F164" s="27"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c r="G164" s="27" t="str">
        <f>IFERROR(__xludf.DUMMYFUNCTION("""COMPUTED_VALUE"""),":)")</f>
        <v>:)</v>
      </c>
      <c r="J164" s="12"/>
      <c r="K164" s="12"/>
      <c r="L164" s="12"/>
    </row>
    <row r="165" ht="15.75" hidden="1" customHeight="1">
      <c r="A165" s="27" t="str">
        <f>IFERROR(__xludf.DUMMYFUNCTION("""COMPUTED_VALUE"""),"ZS17")</f>
        <v>ZS17</v>
      </c>
      <c r="B165" s="27" t="str">
        <f>IFERROR(__xludf.DUMMYFUNCTION("""COMPUTED_VALUE"""),"Hanuka van ma")</f>
        <v>Hanuka van ma</v>
      </c>
      <c r="C165" s="27"/>
      <c r="D165" s="28" t="str">
        <f>IFERROR(__xludf.DUMMYFUNCTION("""COMPUTED_VALUE"""),"https://www.youtube.com/watch?v=LwEfC2YX4ls")</f>
        <v>https://www.youtube.com/watch?v=LwEfC2YX4ls</v>
      </c>
      <c r="E165" s="27" t="str">
        <f>IFERROR(__xludf.DUMMYFUNCTION("""COMPUTED_VALUE"""),"-")</f>
        <v>-</v>
      </c>
      <c r="F165" s="27"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c r="G165" s="27" t="str">
        <f>IFERROR(__xludf.DUMMYFUNCTION("""COMPUTED_VALUE"""),":)")</f>
        <v>:)</v>
      </c>
      <c r="J165" s="12"/>
      <c r="K165" s="12"/>
      <c r="L165" s="12"/>
    </row>
    <row r="166" ht="15.75" hidden="1" customHeight="1">
      <c r="A166" s="27" t="str">
        <f>IFERROR(__xludf.DUMMYFUNCTION("""COMPUTED_VALUE"""),"ZS18")</f>
        <v>ZS18</v>
      </c>
      <c r="B166" s="27" t="str">
        <f>IFERROR(__xludf.DUMMYFUNCTION("""COMPUTED_VALUE"""),"Lesana habaa")</f>
        <v>Lesana habaa</v>
      </c>
      <c r="C166" s="27" t="str">
        <f>IFERROR(__xludf.DUMMYFUNCTION("""COMPUTED_VALUE"""),"לשנה הבאה")</f>
        <v>לשנה הבאה</v>
      </c>
      <c r="D166" s="28" t="str">
        <f>IFERROR(__xludf.DUMMYFUNCTION("""COMPUTED_VALUE"""),"https://www.youtube.com/watch?v=uI8Zzmr_T6g")</f>
        <v>https://www.youtube.com/watch?v=uI8Zzmr_T6g</v>
      </c>
      <c r="E166" s="27" t="str">
        <f>IFERROR(__xludf.DUMMYFUNCTION("""COMPUTED_VALUE"""),"-")</f>
        <v>-</v>
      </c>
      <c r="F166" s="27"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c r="G166" s="27" t="str">
        <f>IFERROR(__xludf.DUMMYFUNCTION("""COMPUTED_VALUE"""),":)")</f>
        <v>:)</v>
      </c>
      <c r="J166" s="12"/>
      <c r="K166" s="12"/>
      <c r="L166" s="12"/>
    </row>
    <row r="167" ht="15.75" hidden="1" customHeight="1">
      <c r="A167" s="27" t="str">
        <f>IFERROR(__xludf.DUMMYFUNCTION("""COMPUTED_VALUE"""),"ZS19")</f>
        <v>ZS19</v>
      </c>
      <c r="B167" s="27" t="str">
        <f>IFERROR(__xludf.DUMMYFUNCTION("""COMPUTED_VALUE"""),"Má jáfe hájom")</f>
        <v>Má jáfe hájom</v>
      </c>
      <c r="C167" s="27" t="str">
        <f>IFERROR(__xludf.DUMMYFUNCTION("""COMPUTED_VALUE"""),"מה יפה היום")</f>
        <v>מה יפה היום</v>
      </c>
      <c r="D167" s="28" t="str">
        <f>IFERROR(__xludf.DUMMYFUNCTION("""COMPUTED_VALUE"""),"https://www.youtube.com/watch?v=waj5XnMtH0o")</f>
        <v>https://www.youtube.com/watch?v=waj5XnMtH0o</v>
      </c>
      <c r="E167" s="27" t="str">
        <f>IFERROR(__xludf.DUMMYFUNCTION("""COMPUTED_VALUE"""),"-")</f>
        <v>-</v>
      </c>
      <c r="F167" s="27"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c r="G167" s="27" t="str">
        <f>IFERROR(__xludf.DUMMYFUNCTION("""COMPUTED_VALUE"""),":)")</f>
        <v>:)</v>
      </c>
      <c r="J167" s="12"/>
      <c r="K167" s="12"/>
      <c r="L167" s="12"/>
    </row>
    <row r="168" ht="15.75" hidden="1" customHeight="1">
      <c r="A168" s="27" t="str">
        <f>IFERROR(__xludf.DUMMYFUNCTION("""COMPUTED_VALUE"""),"ZS20")</f>
        <v>ZS20</v>
      </c>
      <c r="B168" s="27" t="str">
        <f>IFERROR(__xludf.DUMMYFUNCTION("""COMPUTED_VALUE"""),"Szimen tov")</f>
        <v>Szimen tov</v>
      </c>
      <c r="C168" s="27" t="str">
        <f>IFERROR(__xludf.DUMMYFUNCTION("""COMPUTED_VALUE"""),"סימן טוב")</f>
        <v>סימן טוב</v>
      </c>
      <c r="D168" s="28" t="str">
        <f>IFERROR(__xludf.DUMMYFUNCTION("""COMPUTED_VALUE"""),"https://www.youtube.com/watch?v=7pdsVkDqEeE")</f>
        <v>https://www.youtube.com/watch?v=7pdsVkDqEeE</v>
      </c>
      <c r="E168" s="27" t="str">
        <f>IFERROR(__xludf.DUMMYFUNCTION("""COMPUTED_VALUE"""),"-")</f>
        <v>-</v>
      </c>
      <c r="F168" s="27"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c r="G168" s="27" t="str">
        <f>IFERROR(__xludf.DUMMYFUNCTION("""COMPUTED_VALUE"""),":)")</f>
        <v>:)</v>
      </c>
      <c r="J168" s="12"/>
      <c r="K168" s="12"/>
      <c r="L168" s="12"/>
    </row>
    <row r="169" ht="15.75" hidden="1" customHeight="1">
      <c r="A169" s="27" t="str">
        <f>IFERROR(__xludf.DUMMYFUNCTION("""COMPUTED_VALUE"""),"ZS21")</f>
        <v>ZS21</v>
      </c>
      <c r="B169" s="27" t="str">
        <f>IFERROR(__xludf.DUMMYFUNCTION("""COMPUTED_VALUE"""),"Szól a kakas már")</f>
        <v>Szól a kakas már</v>
      </c>
      <c r="C169" s="27"/>
      <c r="D169" s="28" t="str">
        <f>IFERROR(__xludf.DUMMYFUNCTION("""COMPUTED_VALUE"""),"https://www.youtube.com/watch?v=o7sHsjeE5rE")</f>
        <v>https://www.youtube.com/watch?v=o7sHsjeE5rE</v>
      </c>
      <c r="E169" s="27" t="str">
        <f>IFERROR(__xludf.DUMMYFUNCTION("""COMPUTED_VALUE"""),"-")</f>
        <v>-</v>
      </c>
      <c r="F169" s="27"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c r="G169" s="27" t="str">
        <f>IFERROR(__xludf.DUMMYFUNCTION("""COMPUTED_VALUE"""),":)")</f>
        <v>:)</v>
      </c>
      <c r="J169" s="12"/>
      <c r="K169" s="12"/>
      <c r="L169" s="12"/>
    </row>
    <row r="170" ht="15.75" hidden="1" customHeight="1">
      <c r="A170" s="27" t="str">
        <f>IFERROR(__xludf.DUMMYFUNCTION("""COMPUTED_VALUE"""),"ZS22")</f>
        <v>ZS22</v>
      </c>
      <c r="B170" s="27" t="str">
        <f>IFERROR(__xludf.DUMMYFUNCTION("""COMPUTED_VALUE"""),"Im HaShem Lo Jivneh Báit")</f>
        <v>Im HaShem Lo Jivneh Báit</v>
      </c>
      <c r="C170" s="27" t="str">
        <f>IFERROR(__xludf.DUMMYFUNCTION("""COMPUTED_VALUE"""),"אם השם לא יבנה בית")</f>
        <v>אם השם לא יבנה בית</v>
      </c>
      <c r="D170" s="28" t="str">
        <f>IFERROR(__xludf.DUMMYFUNCTION("""COMPUTED_VALUE"""),"https://www.youtube.com/watch?v=ckVYO9oI8vc")</f>
        <v>https://www.youtube.com/watch?v=ckVYO9oI8vc</v>
      </c>
      <c r="E170" s="27" t="str">
        <f>IFERROR(__xludf.DUMMYFUNCTION("""COMPUTED_VALUE"""),"-")</f>
        <v>-</v>
      </c>
      <c r="F170" s="27"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c r="G170" s="27" t="str">
        <f>IFERROR(__xludf.DUMMYFUNCTION("""COMPUTED_VALUE"""),":)")</f>
        <v>:)</v>
      </c>
      <c r="J170" s="12"/>
      <c r="K170" s="12"/>
      <c r="L170" s="12"/>
    </row>
    <row r="171" ht="15.75" customHeight="1">
      <c r="A171" s="27" t="str">
        <f>IFERROR(__xludf.DUMMYFUNCTION("""COMPUTED_VALUE"""),"ZS23")</f>
        <v>ZS23</v>
      </c>
      <c r="B171" s="27" t="str">
        <f>IFERROR(__xludf.DUMMYFUNCTION("""COMPUTED_VALUE"""),"Csiribiri")</f>
        <v>Csiribiri</v>
      </c>
      <c r="C171" s="27"/>
      <c r="D171" s="27"/>
      <c r="E171" s="27"/>
      <c r="F171" s="27"/>
      <c r="G171" s="27" t="str">
        <f>IFERROR(__xludf.DUMMYFUNCTION("""COMPUTED_VALUE"""),"1")</f>
        <v>1</v>
      </c>
      <c r="J171" s="12"/>
      <c r="K171" s="12"/>
      <c r="L171" s="12"/>
    </row>
    <row r="172" ht="15.75" customHeight="1">
      <c r="A172" s="27"/>
      <c r="B172" s="27"/>
      <c r="C172" s="27"/>
      <c r="D172" s="27"/>
      <c r="E172" s="27"/>
      <c r="F172" s="27"/>
      <c r="G172" s="27"/>
      <c r="J172" s="12"/>
      <c r="K172" s="12"/>
      <c r="L172" s="12"/>
    </row>
    <row r="173" ht="15.75" customHeight="1">
      <c r="A173" s="27"/>
      <c r="B173" s="27"/>
      <c r="C173" s="27"/>
      <c r="D173" s="27"/>
      <c r="E173" s="27"/>
      <c r="F173" s="27"/>
      <c r="G173" s="27"/>
      <c r="J173" s="12"/>
      <c r="K173" s="12"/>
      <c r="L173" s="12"/>
    </row>
    <row r="174" ht="15.75" customHeight="1">
      <c r="A174" s="27"/>
      <c r="B174" s="27"/>
      <c r="C174" s="27"/>
      <c r="D174" s="27"/>
      <c r="E174" s="27"/>
      <c r="F174" s="27"/>
      <c r="G174" s="27"/>
      <c r="J174" s="12"/>
      <c r="K174" s="12"/>
      <c r="L174" s="12"/>
    </row>
    <row r="175" ht="15.75" customHeight="1">
      <c r="A175" s="27"/>
      <c r="B175" s="27"/>
      <c r="C175" s="27"/>
      <c r="D175" s="27"/>
      <c r="E175" s="27"/>
      <c r="F175" s="27"/>
      <c r="G175" s="27"/>
      <c r="J175" s="12"/>
      <c r="K175" s="12"/>
      <c r="L175" s="12"/>
    </row>
    <row r="176" ht="15.75" customHeight="1">
      <c r="A176" s="27"/>
      <c r="B176" s="27"/>
      <c r="C176" s="27"/>
      <c r="D176" s="27"/>
      <c r="E176" s="27"/>
      <c r="F176" s="27"/>
      <c r="G176" s="27"/>
      <c r="J176" s="12"/>
      <c r="K176" s="12"/>
      <c r="L176" s="12"/>
    </row>
    <row r="177" ht="15.75" customHeight="1">
      <c r="A177" s="27"/>
      <c r="B177" s="27"/>
      <c r="C177" s="27"/>
      <c r="D177" s="27"/>
      <c r="E177" s="27"/>
      <c r="F177" s="27"/>
      <c r="G177" s="27"/>
      <c r="J177" s="12"/>
      <c r="K177" s="12"/>
      <c r="L177" s="12"/>
    </row>
    <row r="178" ht="15.75" customHeight="1">
      <c r="A178" s="27"/>
      <c r="B178" s="27"/>
      <c r="C178" s="27"/>
      <c r="D178" s="27"/>
      <c r="E178" s="27"/>
      <c r="F178" s="27"/>
      <c r="G178" s="27"/>
      <c r="J178" s="12"/>
      <c r="K178" s="12"/>
      <c r="L178" s="12"/>
    </row>
    <row r="179" ht="15.75" customHeight="1">
      <c r="A179" s="27"/>
      <c r="B179" s="27"/>
      <c r="C179" s="27"/>
      <c r="D179" s="27"/>
      <c r="E179" s="27"/>
      <c r="F179" s="27"/>
      <c r="G179" s="27"/>
      <c r="J179" s="12"/>
      <c r="K179" s="12"/>
      <c r="L179" s="12"/>
    </row>
    <row r="180" ht="15.75" customHeight="1">
      <c r="A180" s="27"/>
      <c r="B180" s="27"/>
      <c r="C180" s="27"/>
      <c r="D180" s="27"/>
      <c r="E180" s="27"/>
      <c r="F180" s="27"/>
      <c r="G180" s="27"/>
      <c r="J180" s="12"/>
      <c r="K180" s="12"/>
      <c r="L180" s="12"/>
    </row>
    <row r="181" ht="15.75" customHeight="1">
      <c r="A181" s="27"/>
      <c r="B181" s="27"/>
      <c r="C181" s="27"/>
      <c r="D181" s="27"/>
      <c r="E181" s="27"/>
      <c r="F181" s="27"/>
      <c r="G181" s="27"/>
      <c r="J181" s="12"/>
      <c r="K181" s="12"/>
      <c r="L181" s="12"/>
    </row>
    <row r="182" ht="15.75" customHeight="1">
      <c r="A182" s="27"/>
      <c r="B182" s="27"/>
      <c r="C182" s="27"/>
      <c r="D182" s="27"/>
      <c r="E182" s="27"/>
      <c r="F182" s="27"/>
      <c r="G182" s="27"/>
      <c r="J182" s="12"/>
      <c r="K182" s="12"/>
      <c r="L182" s="12"/>
    </row>
    <row r="183" ht="15.75" customHeight="1">
      <c r="A183" s="27"/>
      <c r="B183" s="27"/>
      <c r="C183" s="27"/>
      <c r="D183" s="27"/>
      <c r="E183" s="27"/>
      <c r="F183" s="27"/>
      <c r="G183" s="27"/>
      <c r="J183" s="12"/>
      <c r="K183" s="12"/>
      <c r="L183" s="12"/>
    </row>
    <row r="184" ht="15.75" customHeight="1">
      <c r="A184" s="27"/>
      <c r="B184" s="27"/>
      <c r="C184" s="27"/>
      <c r="D184" s="27"/>
      <c r="E184" s="27"/>
      <c r="F184" s="27"/>
      <c r="G184" s="27"/>
      <c r="J184" s="12"/>
      <c r="K184" s="12"/>
      <c r="L184" s="12"/>
    </row>
    <row r="185" ht="15.75" customHeight="1">
      <c r="A185" s="27"/>
      <c r="B185" s="27"/>
      <c r="C185" s="27"/>
      <c r="D185" s="27"/>
      <c r="E185" s="27"/>
      <c r="F185" s="27"/>
      <c r="G185" s="27"/>
      <c r="J185" s="12"/>
      <c r="K185" s="12"/>
      <c r="L185" s="12"/>
    </row>
    <row r="186" ht="15.75" customHeight="1">
      <c r="A186" s="27"/>
      <c r="B186" s="27"/>
      <c r="C186" s="27"/>
      <c r="D186" s="27"/>
      <c r="E186" s="27"/>
      <c r="F186" s="27"/>
      <c r="G186" s="27"/>
      <c r="J186" s="12"/>
      <c r="K186" s="12"/>
      <c r="L186" s="12"/>
    </row>
    <row r="187" ht="15.75" customHeight="1">
      <c r="A187" s="27"/>
      <c r="B187" s="27"/>
      <c r="C187" s="27"/>
      <c r="D187" s="27"/>
      <c r="E187" s="27"/>
      <c r="F187" s="27"/>
      <c r="G187" s="27"/>
      <c r="J187" s="12"/>
      <c r="K187" s="12"/>
      <c r="L187" s="12"/>
    </row>
    <row r="188" ht="15.75" customHeight="1">
      <c r="A188" s="27"/>
      <c r="B188" s="27"/>
      <c r="C188" s="27"/>
      <c r="D188" s="27"/>
      <c r="E188" s="27"/>
      <c r="F188" s="27"/>
      <c r="G188" s="27"/>
      <c r="J188" s="12"/>
      <c r="K188" s="12"/>
      <c r="L188" s="12"/>
    </row>
    <row r="189" ht="15.75" customHeight="1">
      <c r="A189" s="27"/>
      <c r="B189" s="27"/>
      <c r="C189" s="27"/>
      <c r="D189" s="27"/>
      <c r="E189" s="27"/>
      <c r="F189" s="27"/>
      <c r="G189" s="27"/>
      <c r="J189" s="12"/>
      <c r="K189" s="12"/>
      <c r="L189" s="12"/>
    </row>
    <row r="190" ht="15.75" customHeight="1">
      <c r="A190" s="27"/>
      <c r="B190" s="27"/>
      <c r="C190" s="27"/>
      <c r="D190" s="27"/>
      <c r="E190" s="27"/>
      <c r="F190" s="27"/>
      <c r="G190" s="27"/>
      <c r="J190" s="12"/>
      <c r="K190" s="12"/>
      <c r="L190" s="12"/>
    </row>
    <row r="191" ht="15.75" customHeight="1">
      <c r="A191" s="27"/>
      <c r="B191" s="27"/>
      <c r="C191" s="27"/>
      <c r="D191" s="27"/>
      <c r="E191" s="27"/>
      <c r="F191" s="27"/>
      <c r="G191" s="27"/>
      <c r="J191" s="12"/>
      <c r="K191" s="12"/>
      <c r="L191" s="12"/>
    </row>
    <row r="192" ht="15.75" customHeight="1">
      <c r="A192" s="27"/>
      <c r="B192" s="27"/>
      <c r="C192" s="27"/>
      <c r="D192" s="27"/>
      <c r="E192" s="27"/>
      <c r="F192" s="27"/>
      <c r="G192" s="27"/>
      <c r="J192" s="12"/>
      <c r="K192" s="12"/>
      <c r="L192" s="12"/>
    </row>
    <row r="193" ht="15.75" customHeight="1">
      <c r="A193" s="27"/>
      <c r="B193" s="27"/>
      <c r="C193" s="27"/>
      <c r="D193" s="27"/>
      <c r="E193" s="27"/>
      <c r="F193" s="27"/>
      <c r="G193" s="27"/>
      <c r="J193" s="12"/>
      <c r="K193" s="12"/>
      <c r="L193" s="12"/>
    </row>
    <row r="194" ht="15.75" customHeight="1">
      <c r="A194" s="27"/>
      <c r="B194" s="27"/>
      <c r="C194" s="27"/>
      <c r="D194" s="27"/>
      <c r="E194" s="27"/>
      <c r="F194" s="27"/>
      <c r="G194" s="27"/>
      <c r="J194" s="12"/>
      <c r="K194" s="12"/>
      <c r="L194" s="12"/>
    </row>
    <row r="195" ht="15.75" customHeight="1">
      <c r="A195" s="27"/>
      <c r="B195" s="27"/>
      <c r="C195" s="27"/>
      <c r="D195" s="27"/>
      <c r="E195" s="27"/>
      <c r="F195" s="27"/>
      <c r="G195" s="27"/>
      <c r="J195" s="12"/>
      <c r="K195" s="12"/>
      <c r="L195" s="12"/>
    </row>
    <row r="196" ht="15.75" customHeight="1">
      <c r="A196" s="27"/>
      <c r="B196" s="27"/>
      <c r="C196" s="27"/>
      <c r="D196" s="27"/>
      <c r="E196" s="27"/>
      <c r="F196" s="27"/>
      <c r="G196" s="27"/>
      <c r="J196" s="12"/>
      <c r="K196" s="12"/>
      <c r="L196" s="12"/>
    </row>
    <row r="197" ht="15.75" customHeight="1">
      <c r="A197" s="27"/>
      <c r="B197" s="27"/>
      <c r="C197" s="27"/>
      <c r="D197" s="27"/>
      <c r="E197" s="27"/>
      <c r="F197" s="27"/>
      <c r="G197" s="27"/>
      <c r="J197" s="12"/>
      <c r="K197" s="12"/>
      <c r="L197" s="12"/>
    </row>
    <row r="198" ht="15.75" customHeight="1">
      <c r="A198" s="27"/>
      <c r="B198" s="27"/>
      <c r="C198" s="27"/>
      <c r="D198" s="27"/>
      <c r="E198" s="27"/>
      <c r="F198" s="27"/>
      <c r="G198" s="27"/>
      <c r="J198" s="12"/>
      <c r="K198" s="12"/>
      <c r="L198" s="12"/>
    </row>
    <row r="199" ht="15.75" customHeight="1">
      <c r="A199" s="27"/>
      <c r="B199" s="27"/>
      <c r="C199" s="27"/>
      <c r="D199" s="27"/>
      <c r="E199" s="27"/>
      <c r="F199" s="27"/>
      <c r="G199" s="27"/>
      <c r="J199" s="12"/>
      <c r="K199" s="12"/>
      <c r="L199" s="12"/>
    </row>
    <row r="200" ht="15.75" customHeight="1">
      <c r="A200" s="27"/>
      <c r="B200" s="27"/>
      <c r="C200" s="27"/>
      <c r="D200" s="27"/>
      <c r="E200" s="27"/>
      <c r="F200" s="27"/>
      <c r="G200" s="27"/>
      <c r="J200" s="12"/>
      <c r="K200" s="12"/>
      <c r="L200" s="12"/>
    </row>
    <row r="201" ht="15.75" customHeight="1">
      <c r="A201" s="27"/>
      <c r="B201" s="27"/>
      <c r="C201" s="27"/>
      <c r="D201" s="27"/>
      <c r="E201" s="27"/>
      <c r="F201" s="27"/>
      <c r="G201" s="27"/>
      <c r="J201" s="12"/>
      <c r="K201" s="12"/>
      <c r="L201" s="12"/>
    </row>
    <row r="202" ht="15.75" customHeight="1">
      <c r="A202" s="27"/>
      <c r="B202" s="27"/>
      <c r="C202" s="27"/>
      <c r="D202" s="27"/>
      <c r="E202" s="27"/>
      <c r="F202" s="27"/>
      <c r="G202" s="27"/>
      <c r="J202" s="12"/>
      <c r="K202" s="12"/>
      <c r="L202" s="12"/>
    </row>
    <row r="203" ht="15.75" customHeight="1">
      <c r="A203" s="27"/>
      <c r="B203" s="27"/>
      <c r="C203" s="27"/>
      <c r="D203" s="27"/>
      <c r="E203" s="27"/>
      <c r="F203" s="27"/>
      <c r="G203" s="27"/>
      <c r="J203" s="12"/>
      <c r="K203" s="12"/>
      <c r="L203" s="12"/>
    </row>
    <row r="204" ht="15.75" customHeight="1">
      <c r="A204" s="27"/>
      <c r="B204" s="27"/>
      <c r="C204" s="27"/>
      <c r="D204" s="27"/>
      <c r="E204" s="27"/>
      <c r="F204" s="27"/>
      <c r="G204" s="27"/>
      <c r="J204" s="12"/>
      <c r="K204" s="12"/>
      <c r="L204" s="12"/>
    </row>
    <row r="205" ht="15.75" customHeight="1">
      <c r="A205" s="27"/>
      <c r="B205" s="27"/>
      <c r="C205" s="27"/>
      <c r="D205" s="27"/>
      <c r="E205" s="27"/>
      <c r="F205" s="27"/>
      <c r="G205" s="27"/>
      <c r="J205" s="12"/>
      <c r="K205" s="12"/>
      <c r="L205" s="12"/>
    </row>
    <row r="206" ht="15.75" customHeight="1">
      <c r="A206" s="27"/>
      <c r="B206" s="27"/>
      <c r="C206" s="27"/>
      <c r="D206" s="27"/>
      <c r="E206" s="27"/>
      <c r="F206" s="27"/>
      <c r="G206" s="27"/>
      <c r="J206" s="12"/>
      <c r="K206" s="12"/>
      <c r="L206" s="12"/>
    </row>
    <row r="207" ht="15.75" customHeight="1">
      <c r="A207" s="27"/>
      <c r="B207" s="27"/>
      <c r="C207" s="27"/>
      <c r="D207" s="27"/>
      <c r="E207" s="27"/>
      <c r="F207" s="27"/>
      <c r="G207" s="27"/>
      <c r="J207" s="12"/>
      <c r="K207" s="12"/>
      <c r="L207" s="12"/>
    </row>
    <row r="208" ht="15.75" customHeight="1">
      <c r="A208" s="27"/>
      <c r="B208" s="27"/>
      <c r="C208" s="27"/>
      <c r="D208" s="27"/>
      <c r="E208" s="27"/>
      <c r="F208" s="27"/>
      <c r="G208" s="27"/>
      <c r="J208" s="12"/>
      <c r="K208" s="12"/>
      <c r="L208" s="12"/>
    </row>
    <row r="209" ht="15.75" customHeight="1">
      <c r="A209" s="27"/>
      <c r="B209" s="27"/>
      <c r="C209" s="27"/>
      <c r="D209" s="27"/>
      <c r="E209" s="27"/>
      <c r="F209" s="27"/>
      <c r="G209" s="27"/>
      <c r="J209" s="12"/>
      <c r="K209" s="12"/>
      <c r="L209" s="12"/>
    </row>
    <row r="210" ht="15.75" customHeight="1">
      <c r="A210" s="27"/>
      <c r="B210" s="27"/>
      <c r="C210" s="27"/>
      <c r="D210" s="27"/>
      <c r="E210" s="27"/>
      <c r="F210" s="27"/>
      <c r="G210" s="27"/>
      <c r="J210" s="12"/>
      <c r="K210" s="12"/>
      <c r="L210" s="12"/>
    </row>
    <row r="211" ht="15.75" customHeight="1">
      <c r="A211" s="27"/>
      <c r="B211" s="27"/>
      <c r="C211" s="27"/>
      <c r="D211" s="27"/>
      <c r="E211" s="27"/>
      <c r="F211" s="27"/>
      <c r="G211" s="27"/>
      <c r="J211" s="12"/>
      <c r="K211" s="12"/>
      <c r="L211" s="12"/>
    </row>
    <row r="212" ht="15.75" customHeight="1">
      <c r="A212" s="27"/>
      <c r="B212" s="27"/>
      <c r="C212" s="27"/>
      <c r="D212" s="27"/>
      <c r="E212" s="27"/>
      <c r="F212" s="27"/>
      <c r="G212" s="27"/>
      <c r="J212" s="12"/>
      <c r="K212" s="12"/>
      <c r="L212" s="12"/>
    </row>
    <row r="213" ht="15.75" customHeight="1">
      <c r="A213" s="27"/>
      <c r="B213" s="27"/>
      <c r="C213" s="27"/>
      <c r="D213" s="27"/>
      <c r="E213" s="27"/>
      <c r="F213" s="27"/>
      <c r="G213" s="27"/>
      <c r="J213" s="12"/>
      <c r="K213" s="12"/>
      <c r="L213" s="12"/>
    </row>
    <row r="214" ht="15.75" customHeight="1">
      <c r="A214" s="27"/>
      <c r="B214" s="27"/>
      <c r="C214" s="27"/>
      <c r="D214" s="27"/>
      <c r="E214" s="27"/>
      <c r="F214" s="27"/>
      <c r="G214" s="27"/>
      <c r="J214" s="12"/>
      <c r="K214" s="12"/>
      <c r="L214" s="12"/>
    </row>
    <row r="215" ht="15.75" customHeight="1">
      <c r="A215" s="27"/>
      <c r="B215" s="27"/>
      <c r="C215" s="27"/>
      <c r="D215" s="27"/>
      <c r="E215" s="27"/>
      <c r="F215" s="27"/>
      <c r="G215" s="27"/>
      <c r="J215" s="12"/>
      <c r="K215" s="12"/>
      <c r="L215" s="12"/>
    </row>
    <row r="216" ht="15.75" customHeight="1">
      <c r="A216" s="27"/>
      <c r="B216" s="27"/>
      <c r="C216" s="27"/>
      <c r="D216" s="27"/>
      <c r="E216" s="27"/>
      <c r="F216" s="27"/>
      <c r="G216" s="27"/>
      <c r="J216" s="12"/>
      <c r="K216" s="12"/>
      <c r="L216" s="12"/>
    </row>
    <row r="217" ht="15.75" customHeight="1">
      <c r="A217" s="27"/>
      <c r="B217" s="27"/>
      <c r="C217" s="27"/>
      <c r="D217" s="27"/>
      <c r="E217" s="27"/>
      <c r="F217" s="27"/>
      <c r="G217" s="27"/>
      <c r="J217" s="12"/>
      <c r="K217" s="12"/>
      <c r="L217" s="12"/>
    </row>
    <row r="218" ht="15.75" customHeight="1">
      <c r="A218" s="27"/>
      <c r="B218" s="27"/>
      <c r="C218" s="27"/>
      <c r="D218" s="27"/>
      <c r="E218" s="27"/>
      <c r="F218" s="27"/>
      <c r="G218" s="27"/>
      <c r="J218" s="12"/>
      <c r="K218" s="12"/>
      <c r="L218" s="12"/>
    </row>
    <row r="219" ht="15.75" customHeight="1">
      <c r="A219" s="27"/>
      <c r="B219" s="27"/>
      <c r="C219" s="27"/>
      <c r="D219" s="27"/>
      <c r="E219" s="27"/>
      <c r="F219" s="27"/>
      <c r="G219" s="27"/>
      <c r="J219" s="12"/>
      <c r="K219" s="12"/>
      <c r="L219" s="12"/>
    </row>
    <row r="220" ht="15.75" customHeight="1">
      <c r="A220" s="27"/>
      <c r="B220" s="27"/>
      <c r="C220" s="27"/>
      <c r="D220" s="27"/>
      <c r="E220" s="27"/>
      <c r="F220" s="27"/>
      <c r="G220" s="27"/>
      <c r="J220" s="12"/>
      <c r="K220" s="12"/>
      <c r="L220" s="12"/>
    </row>
    <row r="221" ht="15.75" customHeight="1">
      <c r="A221" s="27"/>
      <c r="B221" s="27"/>
      <c r="C221" s="27"/>
      <c r="D221" s="27"/>
      <c r="E221" s="27"/>
      <c r="F221" s="27"/>
      <c r="G221" s="27"/>
      <c r="J221" s="12"/>
      <c r="K221" s="12"/>
      <c r="L221" s="12"/>
    </row>
    <row r="222" ht="15.75" customHeight="1">
      <c r="A222" s="27"/>
      <c r="B222" s="27"/>
      <c r="C222" s="27"/>
      <c r="D222" s="27"/>
      <c r="E222" s="27"/>
      <c r="F222" s="27"/>
      <c r="G222" s="27"/>
      <c r="J222" s="12"/>
      <c r="K222" s="12"/>
      <c r="L222" s="12"/>
    </row>
    <row r="223" ht="15.75" customHeight="1">
      <c r="A223" s="27"/>
      <c r="B223" s="27"/>
      <c r="C223" s="27"/>
      <c r="D223" s="27"/>
      <c r="E223" s="27"/>
      <c r="F223" s="27"/>
      <c r="G223" s="27"/>
      <c r="J223" s="12"/>
      <c r="K223" s="12"/>
      <c r="L223" s="12"/>
    </row>
    <row r="224" ht="15.75" customHeight="1">
      <c r="A224" s="27"/>
      <c r="B224" s="27"/>
      <c r="C224" s="27"/>
      <c r="D224" s="27"/>
      <c r="E224" s="27"/>
      <c r="F224" s="27"/>
      <c r="G224" s="27"/>
      <c r="J224" s="12"/>
      <c r="K224" s="12"/>
      <c r="L224" s="12"/>
    </row>
    <row r="225" ht="15.75" customHeight="1">
      <c r="A225" s="27"/>
      <c r="B225" s="27"/>
      <c r="C225" s="27"/>
      <c r="D225" s="27"/>
      <c r="E225" s="27"/>
      <c r="F225" s="27"/>
      <c r="G225" s="27"/>
      <c r="J225" s="12"/>
      <c r="K225" s="12"/>
      <c r="L225" s="12"/>
    </row>
    <row r="226" ht="15.75" customHeight="1">
      <c r="A226" s="27"/>
      <c r="B226" s="27"/>
      <c r="C226" s="27"/>
      <c r="D226" s="27"/>
      <c r="E226" s="27"/>
      <c r="F226" s="27"/>
      <c r="G226" s="27"/>
      <c r="J226" s="12"/>
      <c r="K226" s="12"/>
      <c r="L226" s="12"/>
    </row>
    <row r="227" ht="15.75" customHeight="1">
      <c r="A227" s="27"/>
      <c r="B227" s="27"/>
      <c r="C227" s="27"/>
      <c r="D227" s="27"/>
      <c r="E227" s="27"/>
      <c r="F227" s="27"/>
      <c r="G227" s="27"/>
      <c r="J227" s="12"/>
      <c r="K227" s="12"/>
      <c r="L227" s="12"/>
    </row>
    <row r="228" ht="15.75" customHeight="1">
      <c r="A228" s="27"/>
      <c r="B228" s="27"/>
      <c r="C228" s="27"/>
      <c r="D228" s="27"/>
      <c r="E228" s="27"/>
      <c r="F228" s="27"/>
      <c r="G228" s="27"/>
      <c r="J228" s="12"/>
      <c r="K228" s="12"/>
      <c r="L228" s="12"/>
    </row>
    <row r="229" ht="15.75" customHeight="1">
      <c r="A229" s="27"/>
      <c r="B229" s="27"/>
      <c r="C229" s="27"/>
      <c r="D229" s="27"/>
      <c r="E229" s="27"/>
      <c r="F229" s="27"/>
      <c r="G229" s="27"/>
      <c r="J229" s="12"/>
      <c r="K229" s="12"/>
      <c r="L229" s="12"/>
    </row>
    <row r="230" ht="15.75" customHeight="1">
      <c r="A230" s="27"/>
      <c r="B230" s="27"/>
      <c r="C230" s="27"/>
      <c r="D230" s="27"/>
      <c r="E230" s="27"/>
      <c r="F230" s="27"/>
      <c r="G230" s="27"/>
      <c r="J230" s="12"/>
      <c r="K230" s="12"/>
      <c r="L230" s="12"/>
    </row>
    <row r="231" ht="15.75" customHeight="1">
      <c r="A231" s="27"/>
      <c r="B231" s="27"/>
      <c r="C231" s="27"/>
      <c r="D231" s="27"/>
      <c r="E231" s="27"/>
      <c r="F231" s="27"/>
      <c r="G231" s="27"/>
      <c r="J231" s="12"/>
      <c r="K231" s="12"/>
      <c r="L231" s="12"/>
    </row>
    <row r="232" ht="15.75" customHeight="1">
      <c r="A232" s="27"/>
      <c r="B232" s="27"/>
      <c r="C232" s="27"/>
      <c r="D232" s="27"/>
      <c r="E232" s="27"/>
      <c r="F232" s="27"/>
      <c r="G232" s="27"/>
      <c r="J232" s="12"/>
      <c r="K232" s="12"/>
      <c r="L232" s="12"/>
    </row>
    <row r="233" ht="15.75" customHeight="1">
      <c r="A233" s="27"/>
      <c r="B233" s="27"/>
      <c r="C233" s="27"/>
      <c r="D233" s="27"/>
      <c r="E233" s="27"/>
      <c r="F233" s="27"/>
      <c r="G233" s="27"/>
      <c r="J233" s="12"/>
      <c r="K233" s="12"/>
      <c r="L233" s="12"/>
    </row>
    <row r="234" ht="15.75" customHeight="1">
      <c r="A234" s="27"/>
      <c r="B234" s="27"/>
      <c r="C234" s="27"/>
      <c r="D234" s="27"/>
      <c r="E234" s="27"/>
      <c r="F234" s="27"/>
      <c r="G234" s="27"/>
      <c r="J234" s="12"/>
      <c r="K234" s="12"/>
      <c r="L234" s="12"/>
    </row>
    <row r="235" ht="15.75" customHeight="1">
      <c r="A235" s="27"/>
      <c r="B235" s="27"/>
      <c r="C235" s="27"/>
      <c r="D235" s="27"/>
      <c r="E235" s="27"/>
      <c r="F235" s="27"/>
      <c r="G235" s="27"/>
      <c r="J235" s="12"/>
      <c r="K235" s="12"/>
      <c r="L235" s="12"/>
    </row>
    <row r="236" ht="15.75" customHeight="1">
      <c r="A236" s="27"/>
      <c r="B236" s="27"/>
      <c r="C236" s="27"/>
      <c r="D236" s="27"/>
      <c r="E236" s="27"/>
      <c r="F236" s="27"/>
      <c r="G236" s="27"/>
      <c r="J236" s="12"/>
      <c r="K236" s="12"/>
      <c r="L236" s="12"/>
    </row>
    <row r="237" ht="15.75" customHeight="1">
      <c r="A237" s="27"/>
      <c r="B237" s="27"/>
      <c r="C237" s="27"/>
      <c r="D237" s="27"/>
      <c r="E237" s="27"/>
      <c r="F237" s="27"/>
      <c r="G237" s="27"/>
      <c r="J237" s="12"/>
      <c r="K237" s="12"/>
      <c r="L237" s="12"/>
    </row>
    <row r="238" ht="15.75" customHeight="1">
      <c r="A238" s="27"/>
      <c r="B238" s="27"/>
      <c r="C238" s="27"/>
      <c r="D238" s="27"/>
      <c r="E238" s="27"/>
      <c r="F238" s="27"/>
      <c r="G238" s="27"/>
      <c r="J238" s="12"/>
      <c r="K238" s="12"/>
      <c r="L238" s="12"/>
    </row>
    <row r="239" ht="15.75" customHeight="1">
      <c r="A239" s="27"/>
      <c r="B239" s="27"/>
      <c r="C239" s="27"/>
      <c r="D239" s="27"/>
      <c r="E239" s="27"/>
      <c r="F239" s="27"/>
      <c r="G239" s="27"/>
      <c r="J239" s="12"/>
      <c r="K239" s="12"/>
      <c r="L239" s="12"/>
    </row>
    <row r="240" ht="15.75" customHeight="1">
      <c r="A240" s="27"/>
      <c r="B240" s="27"/>
      <c r="C240" s="27"/>
      <c r="D240" s="27"/>
      <c r="E240" s="27"/>
      <c r="F240" s="27"/>
      <c r="G240" s="27"/>
      <c r="J240" s="12"/>
      <c r="K240" s="12"/>
      <c r="L240" s="12"/>
    </row>
    <row r="241" ht="15.75" customHeight="1">
      <c r="A241" s="27"/>
      <c r="B241" s="27"/>
      <c r="C241" s="27"/>
      <c r="D241" s="27"/>
      <c r="E241" s="27"/>
      <c r="F241" s="27"/>
      <c r="G241" s="27"/>
      <c r="J241" s="12"/>
      <c r="K241" s="12"/>
      <c r="L241" s="12"/>
    </row>
    <row r="242" ht="15.75" customHeight="1">
      <c r="A242" s="27"/>
      <c r="B242" s="27"/>
      <c r="C242" s="27"/>
      <c r="D242" s="27"/>
      <c r="E242" s="27"/>
      <c r="F242" s="27"/>
      <c r="G242" s="27"/>
      <c r="J242" s="12"/>
      <c r="K242" s="12"/>
      <c r="L242" s="12"/>
    </row>
    <row r="243" ht="15.75" customHeight="1">
      <c r="A243" s="27"/>
      <c r="B243" s="27"/>
      <c r="C243" s="27"/>
      <c r="D243" s="27"/>
      <c r="E243" s="27"/>
      <c r="F243" s="27"/>
      <c r="G243" s="27"/>
      <c r="J243" s="12"/>
      <c r="K243" s="12"/>
      <c r="L243" s="12"/>
    </row>
    <row r="244" ht="15.75" customHeight="1">
      <c r="A244" s="27"/>
      <c r="B244" s="27"/>
      <c r="C244" s="27"/>
      <c r="D244" s="27"/>
      <c r="E244" s="27"/>
      <c r="F244" s="27"/>
      <c r="G244" s="27"/>
      <c r="J244" s="12"/>
      <c r="K244" s="12"/>
      <c r="L244" s="12"/>
    </row>
    <row r="245" ht="15.75" customHeight="1">
      <c r="A245" s="27"/>
      <c r="B245" s="27"/>
      <c r="C245" s="27"/>
      <c r="D245" s="27"/>
      <c r="E245" s="27"/>
      <c r="F245" s="27"/>
      <c r="G245" s="27"/>
      <c r="J245" s="12"/>
      <c r="K245" s="12"/>
      <c r="L245" s="12"/>
    </row>
    <row r="246" ht="15.75" customHeight="1">
      <c r="A246" s="27"/>
      <c r="B246" s="27"/>
      <c r="C246" s="27"/>
      <c r="D246" s="27"/>
      <c r="E246" s="27"/>
      <c r="F246" s="27"/>
      <c r="G246" s="27"/>
      <c r="J246" s="12"/>
      <c r="K246" s="12"/>
      <c r="L246" s="12"/>
    </row>
    <row r="247" ht="15.75" customHeight="1">
      <c r="A247" s="27"/>
      <c r="B247" s="27"/>
      <c r="C247" s="27"/>
      <c r="D247" s="27"/>
      <c r="E247" s="27"/>
      <c r="F247" s="27"/>
      <c r="G247" s="27"/>
      <c r="J247" s="12"/>
      <c r="K247" s="12"/>
      <c r="L247" s="12"/>
    </row>
    <row r="248" ht="15.75" customHeight="1">
      <c r="A248" s="27"/>
      <c r="B248" s="27"/>
      <c r="C248" s="27"/>
      <c r="D248" s="27"/>
      <c r="E248" s="27"/>
      <c r="F248" s="27"/>
      <c r="G248" s="27"/>
      <c r="J248" s="12"/>
      <c r="K248" s="12"/>
      <c r="L248" s="12"/>
    </row>
    <row r="249" ht="15.75" customHeight="1">
      <c r="A249" s="27"/>
      <c r="B249" s="27"/>
      <c r="C249" s="27"/>
      <c r="D249" s="27"/>
      <c r="E249" s="27"/>
      <c r="F249" s="27"/>
      <c r="G249" s="27"/>
      <c r="J249" s="12"/>
      <c r="K249" s="12"/>
      <c r="L249" s="12"/>
    </row>
    <row r="250" ht="15.75" customHeight="1">
      <c r="A250" s="27"/>
      <c r="B250" s="27"/>
      <c r="C250" s="27"/>
      <c r="D250" s="27"/>
      <c r="E250" s="27"/>
      <c r="F250" s="27"/>
      <c r="G250" s="27"/>
      <c r="J250" s="12"/>
      <c r="K250" s="12"/>
      <c r="L250" s="12"/>
    </row>
    <row r="251" ht="15.75" customHeight="1">
      <c r="A251" s="27"/>
      <c r="B251" s="27"/>
      <c r="C251" s="27"/>
      <c r="D251" s="27"/>
      <c r="E251" s="27"/>
      <c r="F251" s="27"/>
      <c r="G251" s="27"/>
      <c r="J251" s="12"/>
      <c r="K251" s="12"/>
      <c r="L251" s="12"/>
    </row>
    <row r="252" ht="15.75" customHeight="1">
      <c r="A252" s="27"/>
      <c r="B252" s="27"/>
      <c r="C252" s="27"/>
      <c r="D252" s="27"/>
      <c r="E252" s="27"/>
      <c r="F252" s="27"/>
      <c r="G252" s="27"/>
      <c r="J252" s="12"/>
      <c r="K252" s="12"/>
      <c r="L252" s="12"/>
    </row>
    <row r="253" ht="15.75" customHeight="1">
      <c r="A253" s="27"/>
      <c r="B253" s="27"/>
      <c r="C253" s="27"/>
      <c r="D253" s="27"/>
      <c r="E253" s="27"/>
      <c r="F253" s="27"/>
      <c r="G253" s="27"/>
      <c r="J253" s="12"/>
      <c r="K253" s="12"/>
      <c r="L253" s="12"/>
    </row>
    <row r="254" ht="15.75" customHeight="1">
      <c r="A254" s="27"/>
      <c r="B254" s="27"/>
      <c r="C254" s="27"/>
      <c r="D254" s="27"/>
      <c r="E254" s="27"/>
      <c r="F254" s="27"/>
      <c r="G254" s="27"/>
      <c r="J254" s="12"/>
      <c r="K254" s="12"/>
      <c r="L254" s="12"/>
    </row>
    <row r="255" ht="15.75" customHeight="1">
      <c r="A255" s="27"/>
      <c r="B255" s="27"/>
      <c r="C255" s="27"/>
      <c r="D255" s="27"/>
      <c r="E255" s="27"/>
      <c r="F255" s="27"/>
      <c r="G255" s="27"/>
      <c r="J255" s="12"/>
      <c r="K255" s="12"/>
      <c r="L255" s="12"/>
    </row>
    <row r="256" ht="15.75" customHeight="1">
      <c r="A256" s="27"/>
      <c r="B256" s="27"/>
      <c r="C256" s="27"/>
      <c r="D256" s="27"/>
      <c r="E256" s="27"/>
      <c r="F256" s="27"/>
      <c r="G256" s="27"/>
      <c r="J256" s="12"/>
      <c r="K256" s="12"/>
      <c r="L256" s="12"/>
    </row>
    <row r="257" ht="15.75" customHeight="1">
      <c r="A257" s="27"/>
      <c r="B257" s="27"/>
      <c r="C257" s="27"/>
      <c r="D257" s="27"/>
      <c r="E257" s="27"/>
      <c r="F257" s="27"/>
      <c r="G257" s="27"/>
      <c r="J257" s="12"/>
      <c r="K257" s="12"/>
      <c r="L257" s="12"/>
    </row>
    <row r="258" ht="15.75" customHeight="1">
      <c r="A258" s="27"/>
      <c r="B258" s="27"/>
      <c r="C258" s="27"/>
      <c r="D258" s="27"/>
      <c r="E258" s="27"/>
      <c r="F258" s="27"/>
      <c r="G258" s="27"/>
      <c r="J258" s="12"/>
      <c r="K258" s="12"/>
      <c r="L258" s="12"/>
    </row>
    <row r="259" ht="15.75" customHeight="1">
      <c r="A259" s="27"/>
      <c r="B259" s="27"/>
      <c r="C259" s="27"/>
      <c r="D259" s="27"/>
      <c r="E259" s="27"/>
      <c r="F259" s="27"/>
      <c r="G259" s="27"/>
      <c r="J259" s="12"/>
      <c r="K259" s="12"/>
      <c r="L259" s="12"/>
    </row>
    <row r="260" ht="15.75" customHeight="1">
      <c r="A260" s="27"/>
      <c r="B260" s="27"/>
      <c r="C260" s="27"/>
      <c r="D260" s="27"/>
      <c r="E260" s="27"/>
      <c r="F260" s="27"/>
      <c r="G260" s="27"/>
      <c r="J260" s="12"/>
      <c r="K260" s="12"/>
      <c r="L260" s="12"/>
    </row>
    <row r="261" ht="15.75" customHeight="1">
      <c r="A261" s="27"/>
      <c r="B261" s="27"/>
      <c r="C261" s="27"/>
      <c r="D261" s="27"/>
      <c r="E261" s="27"/>
      <c r="F261" s="27"/>
      <c r="G261" s="27"/>
      <c r="J261" s="12"/>
      <c r="K261" s="12"/>
      <c r="L261" s="12"/>
    </row>
    <row r="262" ht="15.75" customHeight="1">
      <c r="A262" s="27"/>
      <c r="B262" s="27"/>
      <c r="C262" s="27"/>
      <c r="D262" s="27"/>
      <c r="E262" s="27"/>
      <c r="F262" s="27"/>
      <c r="G262" s="27"/>
      <c r="J262" s="12"/>
      <c r="K262" s="12"/>
      <c r="L262" s="12"/>
    </row>
    <row r="263" ht="15.75" customHeight="1">
      <c r="A263" s="27"/>
      <c r="B263" s="27"/>
      <c r="C263" s="27"/>
      <c r="D263" s="27"/>
      <c r="E263" s="27"/>
      <c r="F263" s="27"/>
      <c r="G263" s="27"/>
      <c r="J263" s="12"/>
      <c r="K263" s="12"/>
      <c r="L263" s="12"/>
    </row>
    <row r="264" ht="15.75" customHeight="1">
      <c r="A264" s="27"/>
      <c r="B264" s="27"/>
      <c r="C264" s="27"/>
      <c r="D264" s="27"/>
      <c r="E264" s="27"/>
      <c r="F264" s="27"/>
      <c r="G264" s="27"/>
      <c r="J264" s="12"/>
      <c r="K264" s="12"/>
      <c r="L264" s="12"/>
    </row>
    <row r="265" ht="15.75" customHeight="1">
      <c r="A265" s="27"/>
      <c r="B265" s="27"/>
      <c r="C265" s="27"/>
      <c r="D265" s="27"/>
      <c r="E265" s="27"/>
      <c r="F265" s="27"/>
      <c r="G265" s="27"/>
      <c r="J265" s="12"/>
      <c r="K265" s="12"/>
      <c r="L265" s="12"/>
    </row>
    <row r="266" ht="15.75" customHeight="1">
      <c r="A266" s="27"/>
      <c r="B266" s="27"/>
      <c r="C266" s="27"/>
      <c r="D266" s="27"/>
      <c r="E266" s="27"/>
      <c r="F266" s="27"/>
      <c r="G266" s="27"/>
      <c r="J266" s="12"/>
      <c r="K266" s="12"/>
      <c r="L266" s="12"/>
    </row>
    <row r="267" ht="15.75" customHeight="1">
      <c r="A267" s="27"/>
      <c r="B267" s="27"/>
      <c r="C267" s="27"/>
      <c r="D267" s="27"/>
      <c r="E267" s="27"/>
      <c r="F267" s="27"/>
      <c r="G267" s="27"/>
      <c r="J267" s="12"/>
      <c r="K267" s="12"/>
      <c r="L267" s="12"/>
    </row>
    <row r="268" ht="15.75" customHeight="1">
      <c r="A268" s="27"/>
      <c r="B268" s="27"/>
      <c r="C268" s="27"/>
      <c r="D268" s="27"/>
      <c r="E268" s="27"/>
      <c r="F268" s="27"/>
      <c r="G268" s="27"/>
      <c r="J268" s="12"/>
      <c r="K268" s="12"/>
      <c r="L268" s="12"/>
    </row>
    <row r="269" ht="15.75" customHeight="1">
      <c r="A269" s="27"/>
      <c r="B269" s="27"/>
      <c r="C269" s="27"/>
      <c r="D269" s="27"/>
      <c r="E269" s="27"/>
      <c r="F269" s="27"/>
      <c r="G269" s="27"/>
      <c r="J269" s="12"/>
      <c r="K269" s="12"/>
      <c r="L269" s="12"/>
    </row>
    <row r="270" ht="15.75" customHeight="1">
      <c r="A270" s="27"/>
      <c r="B270" s="27"/>
      <c r="C270" s="27"/>
      <c r="D270" s="27"/>
      <c r="E270" s="27"/>
      <c r="F270" s="27"/>
      <c r="G270" s="27"/>
      <c r="J270" s="12"/>
      <c r="K270" s="12"/>
      <c r="L270" s="12"/>
    </row>
    <row r="271" ht="15.75" customHeight="1">
      <c r="A271" s="27"/>
      <c r="B271" s="27"/>
      <c r="C271" s="27"/>
      <c r="D271" s="27"/>
      <c r="E271" s="27"/>
      <c r="F271" s="27"/>
      <c r="G271" s="27"/>
      <c r="J271" s="12"/>
      <c r="K271" s="12"/>
      <c r="L271" s="12"/>
    </row>
    <row r="272" ht="15.75" customHeight="1">
      <c r="A272" s="27"/>
      <c r="B272" s="27"/>
      <c r="C272" s="27"/>
      <c r="D272" s="27"/>
      <c r="E272" s="27"/>
      <c r="F272" s="27"/>
      <c r="G272" s="27"/>
      <c r="J272" s="12"/>
      <c r="K272" s="12"/>
      <c r="L272" s="12"/>
    </row>
    <row r="273" ht="15.75" customHeight="1">
      <c r="A273" s="27"/>
      <c r="B273" s="27"/>
      <c r="C273" s="27"/>
      <c r="D273" s="27"/>
      <c r="E273" s="27"/>
      <c r="F273" s="27"/>
      <c r="G273" s="27"/>
      <c r="J273" s="12"/>
      <c r="K273" s="12"/>
      <c r="L273" s="12"/>
    </row>
    <row r="274" ht="15.75" customHeight="1">
      <c r="A274" s="27"/>
      <c r="B274" s="27"/>
      <c r="C274" s="27"/>
      <c r="D274" s="27"/>
      <c r="E274" s="27"/>
      <c r="F274" s="27"/>
      <c r="G274" s="27"/>
      <c r="J274" s="12"/>
      <c r="K274" s="12"/>
      <c r="L274" s="12"/>
    </row>
    <row r="275" ht="15.75" customHeight="1">
      <c r="A275" s="27"/>
      <c r="B275" s="27"/>
      <c r="C275" s="27"/>
      <c r="D275" s="27"/>
      <c r="E275" s="27"/>
      <c r="F275" s="27"/>
      <c r="G275" s="27"/>
      <c r="J275" s="12"/>
      <c r="K275" s="12"/>
      <c r="L275" s="12"/>
    </row>
    <row r="276" ht="15.75" customHeight="1">
      <c r="A276" s="27"/>
      <c r="B276" s="27"/>
      <c r="C276" s="27"/>
      <c r="D276" s="27"/>
      <c r="E276" s="27"/>
      <c r="F276" s="27"/>
      <c r="G276" s="27"/>
      <c r="J276" s="12"/>
      <c r="K276" s="12"/>
      <c r="L276" s="12"/>
    </row>
    <row r="277" ht="15.75" customHeight="1">
      <c r="A277" s="27"/>
      <c r="B277" s="27"/>
      <c r="C277" s="27"/>
      <c r="D277" s="27"/>
      <c r="E277" s="27"/>
      <c r="F277" s="27"/>
      <c r="G277" s="27"/>
      <c r="J277" s="12"/>
      <c r="K277" s="12"/>
      <c r="L277" s="12"/>
    </row>
    <row r="278" ht="15.75" customHeight="1">
      <c r="A278" s="27"/>
      <c r="B278" s="27"/>
      <c r="C278" s="27"/>
      <c r="D278" s="27"/>
      <c r="E278" s="27"/>
      <c r="F278" s="27"/>
      <c r="G278" s="27"/>
      <c r="J278" s="12"/>
      <c r="K278" s="12"/>
      <c r="L278" s="12"/>
    </row>
    <row r="279" ht="15.75" customHeight="1">
      <c r="A279" s="27"/>
      <c r="B279" s="27"/>
      <c r="C279" s="27"/>
      <c r="D279" s="27"/>
      <c r="E279" s="27"/>
      <c r="F279" s="27"/>
      <c r="G279" s="27"/>
      <c r="J279" s="12"/>
      <c r="K279" s="12"/>
      <c r="L279" s="12"/>
    </row>
    <row r="280" ht="15.75" customHeight="1">
      <c r="A280" s="27"/>
      <c r="B280" s="27"/>
      <c r="C280" s="27"/>
      <c r="D280" s="27"/>
      <c r="E280" s="27"/>
      <c r="F280" s="27"/>
      <c r="G280" s="27"/>
      <c r="J280" s="12"/>
      <c r="K280" s="12"/>
      <c r="L280" s="12"/>
    </row>
    <row r="281" ht="15.75" customHeight="1">
      <c r="A281" s="27"/>
      <c r="B281" s="27"/>
      <c r="C281" s="27"/>
      <c r="D281" s="27"/>
      <c r="E281" s="27"/>
      <c r="F281" s="27"/>
      <c r="G281" s="27"/>
      <c r="J281" s="12"/>
      <c r="K281" s="12"/>
      <c r="L281" s="12"/>
    </row>
    <row r="282" ht="15.75" customHeight="1">
      <c r="A282" s="27"/>
      <c r="B282" s="27"/>
      <c r="C282" s="27"/>
      <c r="D282" s="27"/>
      <c r="E282" s="27"/>
      <c r="F282" s="27"/>
      <c r="G282" s="27"/>
      <c r="J282" s="12"/>
      <c r="K282" s="12"/>
      <c r="L282" s="12"/>
    </row>
    <row r="283" ht="15.75" customHeight="1">
      <c r="A283" s="27"/>
      <c r="B283" s="27"/>
      <c r="C283" s="27"/>
      <c r="D283" s="27"/>
      <c r="E283" s="27"/>
      <c r="F283" s="27"/>
      <c r="G283" s="27"/>
      <c r="J283" s="12"/>
      <c r="K283" s="12"/>
      <c r="L283" s="12"/>
    </row>
    <row r="284" ht="15.75" customHeight="1">
      <c r="A284" s="27"/>
      <c r="B284" s="27"/>
      <c r="C284" s="27"/>
      <c r="D284" s="27"/>
      <c r="E284" s="27"/>
      <c r="F284" s="27"/>
      <c r="G284" s="27"/>
      <c r="J284" s="12"/>
      <c r="K284" s="12"/>
      <c r="L284" s="12"/>
    </row>
    <row r="285" ht="15.75" customHeight="1">
      <c r="A285" s="27"/>
      <c r="B285" s="27"/>
      <c r="C285" s="27"/>
      <c r="D285" s="27"/>
      <c r="E285" s="27"/>
      <c r="F285" s="27"/>
      <c r="G285" s="27"/>
      <c r="J285" s="12"/>
      <c r="K285" s="12"/>
      <c r="L285" s="12"/>
    </row>
    <row r="286" ht="15.75" customHeight="1">
      <c r="A286" s="27"/>
      <c r="B286" s="27"/>
      <c r="C286" s="27"/>
      <c r="D286" s="27"/>
      <c r="E286" s="27"/>
      <c r="F286" s="27"/>
      <c r="G286" s="27"/>
      <c r="J286" s="12"/>
      <c r="K286" s="12"/>
      <c r="L286" s="12"/>
    </row>
    <row r="287" ht="15.75" customHeight="1">
      <c r="A287" s="27"/>
      <c r="B287" s="27"/>
      <c r="C287" s="27"/>
      <c r="D287" s="27"/>
      <c r="E287" s="27"/>
      <c r="F287" s="27"/>
      <c r="G287" s="27"/>
      <c r="J287" s="12"/>
      <c r="K287" s="12"/>
      <c r="L287" s="12"/>
    </row>
    <row r="288" ht="15.75" customHeight="1">
      <c r="A288" s="27"/>
      <c r="B288" s="27"/>
      <c r="C288" s="27"/>
      <c r="D288" s="27"/>
      <c r="E288" s="27"/>
      <c r="F288" s="27"/>
      <c r="G288" s="27"/>
      <c r="J288" s="12"/>
      <c r="K288" s="12"/>
      <c r="L288" s="12"/>
    </row>
    <row r="289" ht="15.75" customHeight="1">
      <c r="A289" s="27"/>
      <c r="B289" s="27"/>
      <c r="C289" s="27"/>
      <c r="D289" s="27"/>
      <c r="E289" s="27"/>
      <c r="F289" s="27"/>
      <c r="G289" s="27"/>
      <c r="J289" s="12"/>
      <c r="K289" s="12"/>
      <c r="L289" s="12"/>
    </row>
    <row r="290" ht="15.75" customHeight="1">
      <c r="A290" s="27"/>
      <c r="B290" s="27"/>
      <c r="C290" s="27"/>
      <c r="D290" s="27"/>
      <c r="E290" s="27"/>
      <c r="F290" s="27"/>
      <c r="G290" s="27"/>
      <c r="J290" s="12"/>
      <c r="K290" s="12"/>
      <c r="L290" s="12"/>
    </row>
    <row r="291" ht="15.75" customHeight="1">
      <c r="A291" s="27"/>
      <c r="B291" s="27"/>
      <c r="C291" s="27"/>
      <c r="D291" s="27"/>
      <c r="E291" s="27"/>
      <c r="F291" s="27"/>
      <c r="G291" s="27"/>
      <c r="J291" s="12"/>
      <c r="K291" s="12"/>
      <c r="L291" s="12"/>
    </row>
    <row r="292" ht="15.75" customHeight="1">
      <c r="A292" s="27"/>
      <c r="B292" s="27"/>
      <c r="C292" s="27"/>
      <c r="D292" s="27"/>
      <c r="E292" s="27"/>
      <c r="F292" s="27"/>
      <c r="G292" s="27"/>
      <c r="J292" s="12"/>
      <c r="K292" s="12"/>
      <c r="L292" s="12"/>
    </row>
    <row r="293" ht="15.75" customHeight="1">
      <c r="A293" s="27"/>
      <c r="B293" s="27"/>
      <c r="C293" s="27"/>
      <c r="D293" s="27"/>
      <c r="E293" s="27"/>
      <c r="F293" s="27"/>
      <c r="G293" s="27"/>
      <c r="J293" s="12"/>
      <c r="K293" s="12"/>
      <c r="L293" s="12"/>
    </row>
    <row r="294" ht="15.75" customHeight="1">
      <c r="A294" s="27"/>
      <c r="B294" s="27"/>
      <c r="C294" s="27"/>
      <c r="D294" s="27"/>
      <c r="E294" s="27"/>
      <c r="F294" s="27"/>
      <c r="G294" s="27"/>
      <c r="J294" s="12"/>
      <c r="K294" s="12"/>
      <c r="L294" s="12"/>
    </row>
    <row r="295" ht="15.75" customHeight="1">
      <c r="A295" s="27"/>
      <c r="B295" s="27"/>
      <c r="C295" s="27"/>
      <c r="D295" s="27"/>
      <c r="E295" s="27"/>
      <c r="F295" s="27"/>
      <c r="G295" s="27"/>
      <c r="J295" s="12"/>
      <c r="K295" s="12"/>
      <c r="L295" s="12"/>
    </row>
    <row r="296" ht="15.75" customHeight="1">
      <c r="A296" s="27"/>
      <c r="B296" s="27"/>
      <c r="C296" s="27"/>
      <c r="D296" s="27"/>
      <c r="E296" s="27"/>
      <c r="F296" s="27"/>
      <c r="G296" s="27"/>
      <c r="J296" s="12"/>
      <c r="K296" s="12"/>
      <c r="L296" s="12"/>
    </row>
    <row r="297" ht="15.75" customHeight="1">
      <c r="A297" s="27"/>
      <c r="B297" s="27"/>
      <c r="C297" s="27"/>
      <c r="D297" s="27"/>
      <c r="E297" s="27"/>
      <c r="F297" s="27"/>
      <c r="G297" s="27"/>
      <c r="J297" s="12"/>
      <c r="K297" s="12"/>
      <c r="L297" s="12"/>
    </row>
    <row r="298" ht="15.75" customHeight="1">
      <c r="A298" s="27"/>
      <c r="B298" s="27"/>
      <c r="C298" s="27"/>
      <c r="D298" s="27"/>
      <c r="E298" s="27"/>
      <c r="F298" s="27"/>
      <c r="G298" s="27"/>
      <c r="J298" s="12"/>
      <c r="K298" s="12"/>
      <c r="L298" s="12"/>
    </row>
    <row r="299" ht="15.75" customHeight="1">
      <c r="A299" s="27"/>
      <c r="B299" s="27"/>
      <c r="C299" s="27"/>
      <c r="D299" s="27"/>
      <c r="E299" s="27"/>
      <c r="F299" s="27"/>
      <c r="G299" s="27"/>
      <c r="J299" s="12"/>
      <c r="K299" s="12"/>
      <c r="L299" s="12"/>
    </row>
    <row r="300" ht="15.75" customHeight="1">
      <c r="A300" s="27"/>
      <c r="B300" s="27"/>
      <c r="C300" s="27"/>
      <c r="D300" s="27"/>
      <c r="E300" s="27"/>
      <c r="F300" s="27"/>
      <c r="G300" s="27"/>
      <c r="J300" s="12"/>
      <c r="K300" s="12"/>
      <c r="L300" s="12"/>
    </row>
    <row r="301" ht="15.75" customHeight="1">
      <c r="A301" s="27"/>
      <c r="B301" s="27"/>
      <c r="C301" s="27"/>
      <c r="D301" s="27"/>
      <c r="E301" s="27"/>
      <c r="F301" s="27"/>
      <c r="G301" s="27"/>
      <c r="J301" s="12"/>
      <c r="K301" s="12"/>
      <c r="L301" s="12"/>
    </row>
    <row r="302" ht="15.75" customHeight="1">
      <c r="A302" s="27"/>
      <c r="B302" s="27"/>
      <c r="C302" s="27"/>
      <c r="D302" s="27"/>
      <c r="E302" s="27"/>
      <c r="F302" s="27"/>
      <c r="G302" s="27"/>
      <c r="J302" s="12"/>
      <c r="K302" s="12"/>
      <c r="L302" s="12"/>
    </row>
    <row r="303" ht="15.75" customHeight="1">
      <c r="A303" s="27"/>
      <c r="B303" s="27"/>
      <c r="C303" s="27"/>
      <c r="D303" s="27"/>
      <c r="E303" s="27"/>
      <c r="F303" s="27"/>
      <c r="G303" s="27"/>
      <c r="J303" s="12"/>
      <c r="K303" s="12"/>
      <c r="L303" s="12"/>
    </row>
    <row r="304" ht="15.75" customHeight="1">
      <c r="A304" s="27"/>
      <c r="B304" s="27"/>
      <c r="C304" s="27"/>
      <c r="D304" s="27"/>
      <c r="E304" s="27"/>
      <c r="F304" s="27"/>
      <c r="G304" s="27"/>
      <c r="J304" s="12"/>
      <c r="K304" s="12"/>
      <c r="L304" s="12"/>
    </row>
    <row r="305" ht="15.75" customHeight="1">
      <c r="A305" s="27"/>
      <c r="B305" s="27"/>
      <c r="C305" s="27"/>
      <c r="D305" s="27"/>
      <c r="E305" s="27"/>
      <c r="F305" s="27"/>
      <c r="G305" s="27"/>
      <c r="J305" s="12"/>
      <c r="K305" s="12"/>
      <c r="L305" s="12"/>
    </row>
    <row r="306" ht="15.75" customHeight="1">
      <c r="A306" s="27"/>
      <c r="B306" s="27"/>
      <c r="C306" s="27"/>
      <c r="D306" s="27"/>
      <c r="E306" s="27"/>
      <c r="F306" s="27"/>
      <c r="G306" s="27"/>
      <c r="J306" s="12"/>
      <c r="K306" s="12"/>
      <c r="L306" s="12"/>
    </row>
    <row r="307" ht="15.75" customHeight="1">
      <c r="A307" s="27"/>
      <c r="B307" s="27"/>
      <c r="C307" s="27"/>
      <c r="D307" s="27"/>
      <c r="E307" s="27"/>
      <c r="F307" s="27"/>
      <c r="G307" s="27"/>
      <c r="J307" s="12"/>
      <c r="K307" s="12"/>
      <c r="L307" s="12"/>
    </row>
    <row r="308" ht="15.75" customHeight="1">
      <c r="A308" s="27"/>
      <c r="B308" s="27"/>
      <c r="C308" s="27"/>
      <c r="D308" s="27"/>
      <c r="E308" s="27"/>
      <c r="F308" s="27"/>
      <c r="G308" s="27"/>
      <c r="J308" s="12"/>
      <c r="K308" s="12"/>
      <c r="L308" s="12"/>
    </row>
    <row r="309" ht="15.75" customHeight="1">
      <c r="A309" s="27"/>
      <c r="B309" s="27"/>
      <c r="C309" s="27"/>
      <c r="D309" s="27"/>
      <c r="E309" s="27"/>
      <c r="F309" s="27"/>
      <c r="G309" s="27"/>
      <c r="J309" s="12"/>
      <c r="K309" s="12"/>
      <c r="L309" s="12"/>
    </row>
    <row r="310" ht="15.75" customHeight="1">
      <c r="A310" s="27"/>
      <c r="B310" s="27"/>
      <c r="C310" s="27"/>
      <c r="D310" s="27"/>
      <c r="E310" s="27"/>
      <c r="F310" s="27"/>
      <c r="G310" s="27"/>
      <c r="J310" s="12"/>
      <c r="K310" s="12"/>
      <c r="L310" s="12"/>
    </row>
    <row r="311" ht="15.75" customHeight="1">
      <c r="A311" s="27"/>
      <c r="B311" s="27"/>
      <c r="C311" s="27"/>
      <c r="D311" s="27"/>
      <c r="E311" s="27"/>
      <c r="F311" s="27"/>
      <c r="G311" s="27"/>
      <c r="J311" s="12"/>
      <c r="K311" s="12"/>
      <c r="L311" s="12"/>
    </row>
    <row r="312" ht="15.75" customHeight="1">
      <c r="A312" s="27"/>
      <c r="B312" s="27"/>
      <c r="C312" s="27"/>
      <c r="D312" s="27"/>
      <c r="E312" s="27"/>
      <c r="F312" s="27"/>
      <c r="G312" s="27"/>
      <c r="J312" s="12"/>
      <c r="K312" s="12"/>
      <c r="L312" s="12"/>
    </row>
    <row r="313" ht="15.75" customHeight="1">
      <c r="A313" s="27"/>
      <c r="B313" s="27"/>
      <c r="C313" s="27"/>
      <c r="D313" s="27"/>
      <c r="E313" s="27"/>
      <c r="F313" s="27"/>
      <c r="G313" s="27"/>
      <c r="J313" s="12"/>
      <c r="K313" s="12"/>
      <c r="L313" s="12"/>
    </row>
    <row r="314" ht="15.75" customHeight="1">
      <c r="A314" s="27"/>
      <c r="B314" s="27"/>
      <c r="C314" s="27"/>
      <c r="D314" s="27"/>
      <c r="E314" s="27"/>
      <c r="F314" s="27"/>
      <c r="G314" s="27"/>
      <c r="J314" s="12"/>
      <c r="K314" s="12"/>
      <c r="L314" s="12"/>
    </row>
    <row r="315" ht="15.75" customHeight="1">
      <c r="A315" s="27"/>
      <c r="B315" s="27"/>
      <c r="C315" s="27"/>
      <c r="D315" s="27"/>
      <c r="E315" s="27"/>
      <c r="F315" s="27"/>
      <c r="G315" s="27"/>
      <c r="J315" s="12"/>
      <c r="K315" s="12"/>
      <c r="L315" s="12"/>
    </row>
    <row r="316" ht="15.75" customHeight="1">
      <c r="A316" s="27"/>
      <c r="B316" s="27"/>
      <c r="C316" s="27"/>
      <c r="D316" s="27"/>
      <c r="E316" s="27"/>
      <c r="F316" s="27"/>
      <c r="G316" s="27"/>
      <c r="J316" s="12"/>
      <c r="K316" s="12"/>
      <c r="L316" s="12"/>
    </row>
    <row r="317" ht="15.75" customHeight="1">
      <c r="A317" s="27"/>
      <c r="B317" s="27"/>
      <c r="C317" s="27"/>
      <c r="D317" s="27"/>
      <c r="E317" s="27"/>
      <c r="F317" s="27"/>
      <c r="G317" s="27"/>
      <c r="J317" s="12"/>
      <c r="K317" s="12"/>
      <c r="L317" s="12"/>
    </row>
    <row r="318" ht="15.75" customHeight="1">
      <c r="A318" s="27"/>
      <c r="B318" s="27"/>
      <c r="C318" s="27"/>
      <c r="D318" s="27"/>
      <c r="E318" s="27"/>
      <c r="F318" s="27"/>
      <c r="G318" s="27"/>
      <c r="J318" s="12"/>
      <c r="K318" s="12"/>
      <c r="L318" s="12"/>
    </row>
    <row r="319" ht="15.75" customHeight="1">
      <c r="A319" s="27"/>
      <c r="B319" s="27"/>
      <c r="C319" s="27"/>
      <c r="D319" s="27"/>
      <c r="E319" s="27"/>
      <c r="F319" s="27"/>
      <c r="G319" s="27"/>
      <c r="J319" s="12"/>
      <c r="K319" s="12"/>
      <c r="L319" s="12"/>
    </row>
    <row r="320" ht="15.75" customHeight="1">
      <c r="A320" s="27"/>
      <c r="B320" s="27"/>
      <c r="C320" s="27"/>
      <c r="D320" s="27"/>
      <c r="E320" s="27"/>
      <c r="F320" s="27"/>
      <c r="G320" s="27"/>
      <c r="J320" s="12"/>
      <c r="K320" s="12"/>
      <c r="L320" s="12"/>
    </row>
    <row r="321" ht="15.75" customHeight="1">
      <c r="A321" s="27"/>
      <c r="B321" s="27"/>
      <c r="C321" s="27"/>
      <c r="D321" s="27"/>
      <c r="E321" s="27"/>
      <c r="F321" s="27"/>
      <c r="G321" s="27"/>
      <c r="J321" s="12"/>
      <c r="K321" s="12"/>
      <c r="L321" s="12"/>
    </row>
    <row r="322" ht="15.75" customHeight="1">
      <c r="A322" s="27"/>
      <c r="B322" s="27"/>
      <c r="C322" s="27"/>
      <c r="D322" s="27"/>
      <c r="E322" s="27"/>
      <c r="F322" s="27"/>
      <c r="G322" s="27"/>
      <c r="J322" s="12"/>
      <c r="K322" s="12"/>
      <c r="L322" s="12"/>
    </row>
    <row r="323" ht="15.75" customHeight="1">
      <c r="A323" s="27"/>
      <c r="B323" s="27"/>
      <c r="C323" s="27"/>
      <c r="D323" s="27"/>
      <c r="E323" s="27"/>
      <c r="F323" s="27"/>
      <c r="G323" s="27"/>
      <c r="J323" s="12"/>
      <c r="K323" s="12"/>
      <c r="L323" s="12"/>
    </row>
    <row r="324" ht="15.75" customHeight="1">
      <c r="A324" s="27"/>
      <c r="B324" s="27"/>
      <c r="C324" s="27"/>
      <c r="D324" s="27"/>
      <c r="E324" s="27"/>
      <c r="F324" s="27"/>
      <c r="G324" s="27"/>
      <c r="J324" s="12"/>
      <c r="K324" s="12"/>
      <c r="L324" s="12"/>
    </row>
    <row r="325" ht="15.75" customHeight="1">
      <c r="A325" s="27"/>
      <c r="B325" s="27"/>
      <c r="C325" s="27"/>
      <c r="D325" s="27"/>
      <c r="E325" s="27"/>
      <c r="F325" s="27"/>
      <c r="G325" s="27"/>
      <c r="J325" s="12"/>
      <c r="K325" s="12"/>
      <c r="L325" s="12"/>
    </row>
    <row r="326" ht="15.75" customHeight="1">
      <c r="A326" s="27"/>
      <c r="B326" s="27"/>
      <c r="C326" s="27"/>
      <c r="D326" s="27"/>
      <c r="E326" s="27"/>
      <c r="F326" s="27"/>
      <c r="G326" s="27"/>
      <c r="J326" s="12"/>
      <c r="K326" s="12"/>
      <c r="L326" s="12"/>
    </row>
    <row r="327" ht="15.75" customHeight="1">
      <c r="A327" s="27"/>
      <c r="B327" s="27"/>
      <c r="C327" s="27"/>
      <c r="D327" s="27"/>
      <c r="E327" s="27"/>
      <c r="F327" s="27"/>
      <c r="G327" s="27"/>
      <c r="J327" s="12"/>
      <c r="K327" s="12"/>
      <c r="L327" s="12"/>
    </row>
    <row r="328" ht="15.75" customHeight="1">
      <c r="A328" s="27"/>
      <c r="B328" s="27"/>
      <c r="C328" s="27"/>
      <c r="D328" s="27"/>
      <c r="E328" s="27"/>
      <c r="F328" s="27"/>
      <c r="G328" s="27"/>
      <c r="J328" s="12"/>
      <c r="K328" s="12"/>
      <c r="L328" s="12"/>
    </row>
    <row r="329" ht="15.75" customHeight="1">
      <c r="A329" s="27"/>
      <c r="B329" s="27"/>
      <c r="C329" s="27"/>
      <c r="D329" s="27"/>
      <c r="E329" s="27"/>
      <c r="F329" s="27"/>
      <c r="G329" s="27"/>
      <c r="J329" s="12"/>
      <c r="K329" s="12"/>
      <c r="L329" s="12"/>
    </row>
    <row r="330" ht="15.75" customHeight="1">
      <c r="A330" s="27"/>
      <c r="B330" s="27"/>
      <c r="C330" s="27"/>
      <c r="D330" s="27"/>
      <c r="E330" s="27"/>
      <c r="F330" s="27"/>
      <c r="G330" s="27"/>
      <c r="J330" s="12"/>
      <c r="K330" s="12"/>
      <c r="L330" s="12"/>
    </row>
    <row r="331" ht="15.75" customHeight="1">
      <c r="A331" s="27"/>
      <c r="B331" s="27"/>
      <c r="C331" s="27"/>
      <c r="D331" s="27"/>
      <c r="E331" s="27"/>
      <c r="F331" s="27"/>
      <c r="G331" s="27"/>
      <c r="J331" s="12"/>
      <c r="K331" s="12"/>
      <c r="L331" s="12"/>
    </row>
    <row r="332" ht="15.75" customHeight="1">
      <c r="A332" s="27"/>
      <c r="B332" s="27"/>
      <c r="C332" s="27"/>
      <c r="D332" s="27"/>
      <c r="E332" s="27"/>
      <c r="F332" s="27"/>
      <c r="G332" s="27"/>
      <c r="J332" s="12"/>
      <c r="K332" s="12"/>
      <c r="L332" s="12"/>
    </row>
    <row r="333" ht="15.75" customHeight="1">
      <c r="A333" s="27"/>
      <c r="B333" s="27"/>
      <c r="C333" s="27"/>
      <c r="D333" s="27"/>
      <c r="E333" s="27"/>
      <c r="F333" s="27"/>
      <c r="G333" s="27"/>
      <c r="J333" s="12"/>
      <c r="K333" s="12"/>
      <c r="L333" s="12"/>
    </row>
    <row r="334" ht="15.75" customHeight="1">
      <c r="A334" s="27"/>
      <c r="B334" s="27"/>
      <c r="C334" s="27"/>
      <c r="D334" s="27"/>
      <c r="E334" s="27"/>
      <c r="F334" s="27"/>
      <c r="G334" s="27"/>
      <c r="J334" s="12"/>
      <c r="K334" s="12"/>
      <c r="L334" s="12"/>
    </row>
    <row r="335" ht="15.75" customHeight="1">
      <c r="A335" s="27"/>
      <c r="B335" s="27"/>
      <c r="C335" s="27"/>
      <c r="D335" s="27"/>
      <c r="E335" s="27"/>
      <c r="F335" s="27"/>
      <c r="G335" s="27"/>
      <c r="J335" s="12"/>
      <c r="K335" s="12"/>
      <c r="L335" s="12"/>
    </row>
    <row r="336" ht="15.75" customHeight="1">
      <c r="A336" s="27"/>
      <c r="B336" s="27"/>
      <c r="C336" s="27"/>
      <c r="D336" s="27"/>
      <c r="E336" s="27"/>
      <c r="F336" s="27"/>
      <c r="G336" s="27"/>
      <c r="J336" s="12"/>
      <c r="K336" s="12"/>
      <c r="L336" s="12"/>
    </row>
    <row r="337" ht="15.75" customHeight="1">
      <c r="A337" s="27"/>
      <c r="B337" s="27"/>
      <c r="C337" s="27"/>
      <c r="D337" s="27"/>
      <c r="E337" s="27"/>
      <c r="F337" s="27"/>
      <c r="G337" s="27"/>
      <c r="J337" s="12"/>
      <c r="K337" s="12"/>
      <c r="L337" s="12"/>
    </row>
    <row r="338" ht="15.75" customHeight="1">
      <c r="A338" s="27"/>
      <c r="B338" s="27"/>
      <c r="C338" s="27"/>
      <c r="D338" s="27"/>
      <c r="E338" s="27"/>
      <c r="F338" s="27"/>
      <c r="G338" s="27"/>
      <c r="J338" s="12"/>
      <c r="K338" s="12"/>
      <c r="L338" s="12"/>
    </row>
    <row r="339" ht="15.75" customHeight="1">
      <c r="A339" s="27"/>
      <c r="B339" s="27"/>
      <c r="C339" s="27"/>
      <c r="D339" s="27"/>
      <c r="E339" s="27"/>
      <c r="F339" s="27"/>
      <c r="G339" s="27"/>
      <c r="J339" s="12"/>
      <c r="K339" s="12"/>
      <c r="L339" s="12"/>
    </row>
    <row r="340" ht="15.75" customHeight="1">
      <c r="A340" s="27"/>
      <c r="B340" s="27"/>
      <c r="C340" s="27"/>
      <c r="D340" s="27"/>
      <c r="E340" s="27"/>
      <c r="F340" s="27"/>
      <c r="G340" s="27"/>
      <c r="J340" s="12"/>
      <c r="K340" s="12"/>
      <c r="L340" s="12"/>
    </row>
    <row r="341" ht="15.75" customHeight="1">
      <c r="A341" s="27"/>
      <c r="B341" s="27"/>
      <c r="C341" s="27"/>
      <c r="D341" s="27"/>
      <c r="E341" s="27"/>
      <c r="F341" s="27"/>
      <c r="G341" s="27"/>
      <c r="J341" s="12"/>
      <c r="K341" s="12"/>
      <c r="L341" s="12"/>
    </row>
    <row r="342" ht="15.75" customHeight="1">
      <c r="A342" s="27"/>
      <c r="B342" s="27"/>
      <c r="C342" s="27"/>
      <c r="D342" s="27"/>
      <c r="E342" s="27"/>
      <c r="F342" s="27"/>
      <c r="G342" s="27"/>
      <c r="J342" s="12"/>
      <c r="K342" s="12"/>
      <c r="L342" s="12"/>
    </row>
    <row r="343" ht="15.75" customHeight="1">
      <c r="A343" s="27"/>
      <c r="B343" s="27"/>
      <c r="C343" s="27"/>
      <c r="D343" s="27"/>
      <c r="E343" s="27"/>
      <c r="F343" s="27"/>
      <c r="G343" s="27"/>
      <c r="J343" s="12"/>
      <c r="K343" s="12"/>
      <c r="L343" s="12"/>
    </row>
    <row r="344" ht="15.75" customHeight="1">
      <c r="A344" s="27"/>
      <c r="B344" s="27"/>
      <c r="C344" s="27"/>
      <c r="D344" s="27"/>
      <c r="E344" s="27"/>
      <c r="F344" s="27"/>
      <c r="G344" s="27"/>
      <c r="J344" s="12"/>
      <c r="K344" s="12"/>
      <c r="L344" s="12"/>
    </row>
    <row r="345" ht="15.75" customHeight="1">
      <c r="A345" s="27"/>
      <c r="B345" s="27"/>
      <c r="C345" s="27"/>
      <c r="D345" s="27"/>
      <c r="E345" s="27"/>
      <c r="F345" s="27"/>
      <c r="G345" s="27"/>
      <c r="J345" s="12"/>
      <c r="K345" s="12"/>
      <c r="L345" s="12"/>
    </row>
    <row r="346" ht="15.75" customHeight="1">
      <c r="A346" s="27"/>
      <c r="B346" s="27"/>
      <c r="C346" s="27"/>
      <c r="D346" s="27"/>
      <c r="E346" s="27"/>
      <c r="F346" s="27"/>
      <c r="G346" s="27"/>
      <c r="J346" s="12"/>
      <c r="K346" s="12"/>
      <c r="L346" s="12"/>
    </row>
    <row r="347" ht="15.75" customHeight="1">
      <c r="A347" s="27"/>
      <c r="B347" s="27"/>
      <c r="C347" s="27"/>
      <c r="D347" s="27"/>
      <c r="E347" s="27"/>
      <c r="F347" s="27"/>
      <c r="G347" s="27"/>
      <c r="J347" s="12"/>
      <c r="K347" s="12"/>
      <c r="L347" s="12"/>
    </row>
    <row r="348" ht="15.75" customHeight="1">
      <c r="A348" s="27"/>
      <c r="B348" s="27"/>
      <c r="C348" s="27"/>
      <c r="D348" s="27"/>
      <c r="E348" s="27"/>
      <c r="F348" s="27"/>
      <c r="G348" s="27"/>
      <c r="J348" s="12"/>
      <c r="K348" s="12"/>
      <c r="L348" s="12"/>
    </row>
    <row r="349" ht="15.75" customHeight="1">
      <c r="A349" s="27"/>
      <c r="B349" s="27"/>
      <c r="C349" s="27"/>
      <c r="D349" s="27"/>
      <c r="E349" s="27"/>
      <c r="F349" s="27"/>
      <c r="G349" s="27"/>
      <c r="J349" s="12"/>
      <c r="K349" s="12"/>
      <c r="L349" s="12"/>
    </row>
    <row r="350" ht="15.75" customHeight="1">
      <c r="A350" s="27"/>
      <c r="B350" s="27"/>
      <c r="C350" s="27"/>
      <c r="D350" s="27"/>
      <c r="E350" s="27"/>
      <c r="F350" s="27"/>
      <c r="G350" s="27"/>
      <c r="J350" s="12"/>
      <c r="K350" s="12"/>
      <c r="L350" s="12"/>
    </row>
    <row r="351" ht="15.75" customHeight="1">
      <c r="A351" s="27"/>
      <c r="B351" s="27"/>
      <c r="C351" s="27"/>
      <c r="D351" s="27"/>
      <c r="E351" s="27"/>
      <c r="F351" s="27"/>
      <c r="G351" s="27"/>
      <c r="J351" s="12"/>
      <c r="K351" s="12"/>
      <c r="L351" s="12"/>
    </row>
    <row r="352" ht="15.75" customHeight="1">
      <c r="A352" s="27"/>
      <c r="B352" s="27"/>
      <c r="C352" s="27"/>
      <c r="D352" s="27"/>
      <c r="E352" s="27"/>
      <c r="F352" s="27"/>
      <c r="G352" s="27"/>
      <c r="J352" s="12"/>
      <c r="K352" s="12"/>
      <c r="L352" s="12"/>
    </row>
    <row r="353" ht="15.75" customHeight="1">
      <c r="A353" s="27"/>
      <c r="B353" s="27"/>
      <c r="C353" s="27"/>
      <c r="D353" s="27"/>
      <c r="E353" s="27"/>
      <c r="F353" s="27"/>
      <c r="G353" s="27"/>
      <c r="J353" s="12"/>
      <c r="K353" s="12"/>
      <c r="L353" s="12"/>
    </row>
    <row r="354" ht="15.75" customHeight="1">
      <c r="A354" s="27"/>
      <c r="B354" s="27"/>
      <c r="C354" s="27"/>
      <c r="D354" s="27"/>
      <c r="E354" s="27"/>
      <c r="F354" s="27"/>
      <c r="G354" s="27"/>
      <c r="J354" s="12"/>
      <c r="K354" s="12"/>
      <c r="L354" s="12"/>
    </row>
    <row r="355" ht="15.75" customHeight="1">
      <c r="A355" s="27"/>
      <c r="B355" s="27"/>
      <c r="C355" s="27"/>
      <c r="D355" s="27"/>
      <c r="E355" s="27"/>
      <c r="F355" s="27"/>
      <c r="G355" s="27"/>
      <c r="J355" s="12"/>
      <c r="K355" s="12"/>
      <c r="L355" s="12"/>
    </row>
    <row r="356" ht="15.75" customHeight="1">
      <c r="A356" s="27"/>
      <c r="B356" s="27"/>
      <c r="C356" s="27"/>
      <c r="D356" s="27"/>
      <c r="E356" s="27"/>
      <c r="F356" s="27"/>
      <c r="G356" s="27"/>
      <c r="J356" s="12"/>
      <c r="K356" s="12"/>
      <c r="L356" s="12"/>
    </row>
    <row r="357" ht="15.75" customHeight="1">
      <c r="A357" s="27"/>
      <c r="B357" s="27"/>
      <c r="C357" s="27"/>
      <c r="D357" s="27"/>
      <c r="E357" s="27"/>
      <c r="F357" s="27"/>
      <c r="G357" s="27"/>
      <c r="J357" s="12"/>
      <c r="K357" s="12"/>
      <c r="L357" s="12"/>
    </row>
    <row r="358" ht="15.75" customHeight="1">
      <c r="A358" s="27"/>
      <c r="B358" s="27"/>
      <c r="C358" s="27"/>
      <c r="D358" s="27"/>
      <c r="E358" s="27"/>
      <c r="F358" s="27"/>
      <c r="G358" s="27"/>
      <c r="J358" s="12"/>
      <c r="K358" s="12"/>
      <c r="L358" s="12"/>
    </row>
    <row r="359" ht="15.75" customHeight="1">
      <c r="A359" s="27"/>
      <c r="B359" s="27"/>
      <c r="C359" s="27"/>
      <c r="D359" s="27"/>
      <c r="E359" s="27"/>
      <c r="F359" s="27"/>
      <c r="G359" s="27"/>
      <c r="J359" s="12"/>
      <c r="K359" s="12"/>
      <c r="L359" s="12"/>
    </row>
    <row r="360" ht="15.75" customHeight="1">
      <c r="A360" s="27"/>
      <c r="B360" s="27"/>
      <c r="C360" s="27"/>
      <c r="D360" s="27"/>
      <c r="E360" s="27"/>
      <c r="F360" s="27"/>
      <c r="G360" s="27"/>
      <c r="J360" s="12"/>
      <c r="K360" s="12"/>
      <c r="L360" s="12"/>
    </row>
    <row r="361" ht="15.75" customHeight="1">
      <c r="A361" s="27"/>
      <c r="B361" s="27"/>
      <c r="C361" s="27"/>
      <c r="D361" s="27"/>
      <c r="E361" s="27"/>
      <c r="F361" s="27"/>
      <c r="G361" s="27"/>
      <c r="J361" s="12"/>
      <c r="K361" s="12"/>
      <c r="L361" s="12"/>
    </row>
    <row r="362" ht="15.75" customHeight="1">
      <c r="A362" s="27"/>
      <c r="B362" s="27"/>
      <c r="C362" s="27"/>
      <c r="D362" s="27"/>
      <c r="E362" s="27"/>
      <c r="F362" s="27"/>
      <c r="G362" s="27"/>
      <c r="J362" s="12"/>
      <c r="K362" s="12"/>
      <c r="L362" s="12"/>
    </row>
    <row r="363" ht="15.75" customHeight="1">
      <c r="A363" s="27"/>
      <c r="B363" s="27"/>
      <c r="C363" s="27"/>
      <c r="D363" s="27"/>
      <c r="E363" s="27"/>
      <c r="F363" s="27"/>
      <c r="G363" s="27"/>
      <c r="J363" s="12"/>
      <c r="K363" s="12"/>
      <c r="L363" s="12"/>
    </row>
    <row r="364" ht="15.75" customHeight="1">
      <c r="A364" s="27"/>
      <c r="B364" s="27"/>
      <c r="C364" s="27"/>
      <c r="D364" s="27"/>
      <c r="E364" s="27"/>
      <c r="F364" s="27"/>
      <c r="G364" s="27"/>
      <c r="J364" s="12"/>
      <c r="K364" s="12"/>
      <c r="L364" s="12"/>
    </row>
    <row r="365" ht="15.75" customHeight="1">
      <c r="A365" s="27"/>
      <c r="B365" s="27"/>
      <c r="C365" s="27"/>
      <c r="D365" s="27"/>
      <c r="E365" s="27"/>
      <c r="F365" s="27"/>
      <c r="G365" s="27"/>
      <c r="J365" s="12"/>
      <c r="K365" s="12"/>
      <c r="L365" s="12"/>
    </row>
    <row r="366" ht="15.75" customHeight="1">
      <c r="A366" s="27"/>
      <c r="B366" s="27"/>
      <c r="C366" s="27"/>
      <c r="D366" s="27"/>
      <c r="E366" s="27"/>
      <c r="F366" s="27"/>
      <c r="G366" s="27"/>
      <c r="J366" s="12"/>
      <c r="K366" s="12"/>
      <c r="L366" s="12"/>
    </row>
    <row r="367" ht="15.75" customHeight="1">
      <c r="A367" s="27"/>
      <c r="B367" s="27"/>
      <c r="C367" s="27"/>
      <c r="D367" s="27"/>
      <c r="E367" s="27"/>
      <c r="F367" s="27"/>
      <c r="G367" s="27"/>
      <c r="J367" s="12"/>
      <c r="K367" s="12"/>
      <c r="L367" s="12"/>
    </row>
    <row r="368" ht="15.75" customHeight="1">
      <c r="A368" s="27"/>
      <c r="B368" s="27"/>
      <c r="C368" s="27"/>
      <c r="D368" s="27"/>
      <c r="E368" s="27"/>
      <c r="F368" s="27"/>
      <c r="G368" s="27"/>
      <c r="J368" s="12"/>
      <c r="K368" s="12"/>
      <c r="L368" s="12"/>
    </row>
    <row r="369" ht="15.75" customHeight="1">
      <c r="A369" s="27"/>
      <c r="B369" s="27"/>
      <c r="C369" s="27"/>
      <c r="D369" s="27"/>
      <c r="E369" s="27"/>
      <c r="F369" s="27"/>
      <c r="G369" s="27"/>
      <c r="J369" s="12"/>
      <c r="K369" s="12"/>
      <c r="L369" s="12"/>
    </row>
    <row r="370" ht="15.75" customHeight="1">
      <c r="A370" s="27"/>
      <c r="B370" s="27"/>
      <c r="C370" s="27"/>
      <c r="D370" s="27"/>
      <c r="E370" s="27"/>
      <c r="F370" s="27"/>
      <c r="G370" s="27"/>
      <c r="J370" s="12"/>
      <c r="K370" s="12"/>
      <c r="L370" s="12"/>
    </row>
    <row r="371" ht="15.75" customHeight="1">
      <c r="A371" s="27"/>
      <c r="B371" s="27"/>
      <c r="C371" s="27"/>
      <c r="D371" s="27"/>
      <c r="E371" s="27"/>
      <c r="F371" s="27"/>
      <c r="G371" s="27"/>
      <c r="J371" s="12"/>
      <c r="K371" s="12"/>
      <c r="L371" s="12"/>
    </row>
    <row r="372" ht="15.75" customHeight="1">
      <c r="A372" s="27"/>
      <c r="B372" s="27"/>
      <c r="C372" s="27"/>
      <c r="D372" s="27"/>
      <c r="E372" s="27"/>
      <c r="F372" s="27"/>
      <c r="G372" s="27"/>
      <c r="J372" s="12"/>
      <c r="K372" s="12"/>
      <c r="L372" s="12"/>
    </row>
    <row r="373" ht="15.75" customHeight="1">
      <c r="A373" s="27"/>
      <c r="B373" s="27"/>
      <c r="C373" s="27"/>
      <c r="D373" s="27"/>
      <c r="E373" s="27"/>
      <c r="F373" s="27"/>
      <c r="G373" s="27"/>
      <c r="J373" s="12"/>
      <c r="K373" s="12"/>
      <c r="L373" s="12"/>
    </row>
    <row r="374" ht="15.75" customHeight="1">
      <c r="A374" s="27"/>
      <c r="B374" s="27"/>
      <c r="C374" s="27"/>
      <c r="D374" s="27"/>
      <c r="E374" s="27"/>
      <c r="F374" s="27"/>
      <c r="G374" s="27"/>
      <c r="J374" s="12"/>
      <c r="K374" s="12"/>
      <c r="L374" s="12"/>
    </row>
    <row r="375" ht="15.75" customHeight="1">
      <c r="A375" s="27"/>
      <c r="B375" s="27"/>
      <c r="C375" s="27"/>
      <c r="D375" s="27"/>
      <c r="E375" s="27"/>
      <c r="F375" s="27"/>
      <c r="G375" s="27"/>
      <c r="J375" s="12"/>
      <c r="K375" s="12"/>
      <c r="L375" s="12"/>
    </row>
    <row r="376" ht="15.75" customHeight="1">
      <c r="A376" s="27"/>
      <c r="B376" s="27"/>
      <c r="C376" s="27"/>
      <c r="D376" s="27"/>
      <c r="E376" s="27"/>
      <c r="F376" s="27"/>
      <c r="G376" s="27"/>
      <c r="J376" s="12"/>
      <c r="K376" s="12"/>
      <c r="L376" s="12"/>
    </row>
    <row r="377" ht="15.75" customHeight="1">
      <c r="A377" s="27"/>
      <c r="B377" s="27"/>
      <c r="C377" s="27"/>
      <c r="D377" s="27"/>
      <c r="E377" s="27"/>
      <c r="F377" s="27"/>
      <c r="G377" s="27"/>
      <c r="J377" s="12"/>
      <c r="K377" s="12"/>
      <c r="L377" s="12"/>
    </row>
    <row r="378" ht="15.75" customHeight="1">
      <c r="A378" s="27"/>
      <c r="B378" s="27"/>
      <c r="C378" s="27"/>
      <c r="D378" s="27"/>
      <c r="E378" s="27"/>
      <c r="F378" s="27"/>
      <c r="G378" s="27"/>
      <c r="J378" s="12"/>
      <c r="K378" s="12"/>
      <c r="L378" s="12"/>
    </row>
    <row r="379" ht="15.75" customHeight="1">
      <c r="A379" s="27"/>
      <c r="B379" s="27"/>
      <c r="C379" s="27"/>
      <c r="D379" s="27"/>
      <c r="E379" s="27"/>
      <c r="F379" s="27"/>
      <c r="G379" s="27"/>
      <c r="J379" s="12"/>
      <c r="K379" s="12"/>
      <c r="L379" s="12"/>
    </row>
    <row r="380" ht="15.75" customHeight="1">
      <c r="A380" s="27"/>
      <c r="B380" s="27"/>
      <c r="C380" s="27"/>
      <c r="D380" s="27"/>
      <c r="E380" s="27"/>
      <c r="F380" s="27"/>
      <c r="G380" s="27"/>
      <c r="J380" s="12"/>
      <c r="K380" s="12"/>
      <c r="L380" s="12"/>
    </row>
    <row r="381" ht="15.75" customHeight="1">
      <c r="A381" s="27"/>
      <c r="B381" s="27"/>
      <c r="C381" s="27"/>
      <c r="D381" s="27"/>
      <c r="E381" s="27"/>
      <c r="F381" s="27"/>
      <c r="G381" s="27"/>
      <c r="J381" s="12"/>
      <c r="K381" s="12"/>
      <c r="L381" s="12"/>
    </row>
    <row r="382" ht="15.75" customHeight="1">
      <c r="A382" s="27"/>
      <c r="B382" s="27"/>
      <c r="C382" s="27"/>
      <c r="D382" s="27"/>
      <c r="E382" s="27"/>
      <c r="F382" s="27"/>
      <c r="G382" s="27"/>
      <c r="J382" s="12"/>
      <c r="K382" s="12"/>
      <c r="L382" s="12"/>
    </row>
    <row r="383" ht="15.75" customHeight="1">
      <c r="A383" s="27"/>
      <c r="B383" s="27"/>
      <c r="C383" s="27"/>
      <c r="D383" s="27"/>
      <c r="E383" s="27"/>
      <c r="F383" s="27"/>
      <c r="G383" s="27"/>
      <c r="J383" s="12"/>
      <c r="K383" s="12"/>
      <c r="L383" s="12"/>
    </row>
    <row r="384" ht="15.75" customHeight="1">
      <c r="A384" s="27"/>
      <c r="B384" s="27"/>
      <c r="C384" s="27"/>
      <c r="D384" s="27"/>
      <c r="E384" s="27"/>
      <c r="F384" s="27"/>
      <c r="G384" s="27"/>
      <c r="J384" s="12"/>
      <c r="K384" s="12"/>
      <c r="L384" s="12"/>
    </row>
    <row r="385" ht="15.75" customHeight="1">
      <c r="A385" s="27"/>
      <c r="B385" s="27"/>
      <c r="C385" s="27"/>
      <c r="D385" s="27"/>
      <c r="E385" s="27"/>
      <c r="F385" s="27"/>
      <c r="G385" s="27"/>
      <c r="J385" s="12"/>
      <c r="K385" s="12"/>
      <c r="L385" s="12"/>
    </row>
    <row r="386" ht="15.75" customHeight="1">
      <c r="A386" s="27"/>
      <c r="B386" s="27"/>
      <c r="C386" s="27"/>
      <c r="D386" s="27"/>
      <c r="E386" s="27"/>
      <c r="F386" s="27"/>
      <c r="G386" s="27"/>
      <c r="J386" s="12"/>
      <c r="K386" s="12"/>
      <c r="L386" s="12"/>
    </row>
    <row r="387" ht="15.75" customHeight="1">
      <c r="A387" s="27"/>
      <c r="B387" s="27"/>
      <c r="C387" s="27"/>
      <c r="D387" s="27"/>
      <c r="E387" s="27"/>
      <c r="F387" s="27"/>
      <c r="G387" s="27"/>
      <c r="J387" s="12"/>
      <c r="K387" s="12"/>
      <c r="L387" s="12"/>
    </row>
    <row r="388" ht="15.75" customHeight="1">
      <c r="A388" s="27"/>
      <c r="B388" s="27"/>
      <c r="C388" s="27"/>
      <c r="D388" s="27"/>
      <c r="E388" s="27"/>
      <c r="F388" s="27"/>
      <c r="G388" s="27"/>
      <c r="J388" s="12"/>
      <c r="K388" s="12"/>
      <c r="L388" s="12"/>
    </row>
    <row r="389" ht="15.75" customHeight="1">
      <c r="A389" s="27"/>
      <c r="B389" s="27"/>
      <c r="C389" s="27"/>
      <c r="D389" s="27"/>
      <c r="E389" s="27"/>
      <c r="F389" s="27"/>
      <c r="G389" s="27"/>
      <c r="J389" s="12"/>
      <c r="K389" s="12"/>
      <c r="L389" s="12"/>
    </row>
    <row r="390" ht="15.75" customHeight="1">
      <c r="A390" s="27"/>
      <c r="B390" s="27"/>
      <c r="C390" s="27"/>
      <c r="D390" s="27"/>
      <c r="E390" s="27"/>
      <c r="F390" s="27"/>
      <c r="G390" s="27"/>
      <c r="J390" s="12"/>
      <c r="K390" s="12"/>
      <c r="L390" s="12"/>
    </row>
    <row r="391" ht="15.75" customHeight="1">
      <c r="A391" s="27"/>
      <c r="B391" s="27"/>
      <c r="C391" s="27"/>
      <c r="D391" s="27"/>
      <c r="E391" s="27"/>
      <c r="F391" s="27"/>
      <c r="G391" s="27"/>
      <c r="J391" s="12"/>
      <c r="K391" s="12"/>
      <c r="L391" s="12"/>
    </row>
    <row r="392" ht="15.75" customHeight="1">
      <c r="A392" s="27"/>
      <c r="B392" s="27"/>
      <c r="C392" s="27"/>
      <c r="D392" s="27"/>
      <c r="E392" s="27"/>
      <c r="F392" s="27"/>
      <c r="G392" s="27"/>
      <c r="J392" s="12"/>
      <c r="K392" s="12"/>
      <c r="L392" s="12"/>
    </row>
    <row r="393" ht="15.75" customHeight="1">
      <c r="A393" s="27"/>
      <c r="B393" s="27"/>
      <c r="C393" s="27"/>
      <c r="D393" s="27"/>
      <c r="E393" s="27"/>
      <c r="F393" s="27"/>
      <c r="G393" s="27"/>
      <c r="J393" s="12"/>
      <c r="K393" s="12"/>
      <c r="L393" s="12"/>
    </row>
    <row r="394" ht="15.75" customHeight="1">
      <c r="A394" s="27"/>
      <c r="B394" s="27"/>
      <c r="C394" s="27"/>
      <c r="D394" s="27"/>
      <c r="E394" s="27"/>
      <c r="F394" s="27"/>
      <c r="G394" s="27"/>
      <c r="J394" s="12"/>
      <c r="K394" s="12"/>
      <c r="L394" s="12"/>
    </row>
    <row r="395" ht="15.75" customHeight="1">
      <c r="A395" s="27"/>
      <c r="B395" s="27"/>
      <c r="C395" s="27"/>
      <c r="D395" s="27"/>
      <c r="E395" s="27"/>
      <c r="F395" s="27"/>
      <c r="G395" s="27"/>
      <c r="J395" s="12"/>
      <c r="K395" s="12"/>
      <c r="L395" s="12"/>
    </row>
    <row r="396" ht="15.75" customHeight="1">
      <c r="A396" s="27"/>
      <c r="B396" s="27"/>
      <c r="C396" s="27"/>
      <c r="D396" s="27"/>
      <c r="E396" s="27"/>
      <c r="F396" s="27"/>
      <c r="G396" s="27"/>
      <c r="J396" s="12"/>
      <c r="K396" s="12"/>
      <c r="L396" s="12"/>
    </row>
    <row r="397" ht="15.75" customHeight="1">
      <c r="A397" s="27"/>
      <c r="B397" s="27"/>
      <c r="C397" s="27"/>
      <c r="D397" s="27"/>
      <c r="E397" s="27"/>
      <c r="F397" s="27"/>
      <c r="G397" s="27"/>
      <c r="J397" s="12"/>
      <c r="K397" s="12"/>
      <c r="L397" s="12"/>
    </row>
    <row r="398" ht="15.75" customHeight="1">
      <c r="A398" s="27"/>
      <c r="B398" s="27"/>
      <c r="C398" s="27"/>
      <c r="D398" s="27"/>
      <c r="E398" s="27"/>
      <c r="F398" s="27"/>
      <c r="G398" s="27"/>
      <c r="J398" s="12"/>
      <c r="K398" s="12"/>
      <c r="L398" s="12"/>
    </row>
    <row r="399" ht="15.75" customHeight="1">
      <c r="A399" s="27"/>
      <c r="B399" s="27"/>
      <c r="C399" s="27"/>
      <c r="D399" s="27"/>
      <c r="E399" s="27"/>
      <c r="F399" s="27"/>
      <c r="G399" s="27"/>
      <c r="J399" s="12"/>
      <c r="K399" s="12"/>
      <c r="L399" s="12"/>
    </row>
    <row r="400" ht="15.75" customHeight="1">
      <c r="A400" s="27"/>
      <c r="B400" s="27"/>
      <c r="C400" s="27"/>
      <c r="D400" s="27"/>
      <c r="E400" s="27"/>
      <c r="F400" s="27"/>
      <c r="G400" s="27"/>
      <c r="J400" s="12"/>
      <c r="K400" s="12"/>
      <c r="L400" s="12"/>
    </row>
    <row r="401" ht="15.75" customHeight="1">
      <c r="A401" s="27"/>
      <c r="B401" s="27"/>
      <c r="C401" s="27"/>
      <c r="D401" s="27"/>
      <c r="E401" s="27"/>
      <c r="F401" s="27"/>
      <c r="G401" s="27"/>
      <c r="J401" s="12"/>
      <c r="K401" s="12"/>
      <c r="L401" s="12"/>
    </row>
    <row r="402" ht="15.75" customHeight="1">
      <c r="A402" s="27"/>
      <c r="B402" s="27"/>
      <c r="C402" s="27"/>
      <c r="D402" s="27"/>
      <c r="E402" s="27"/>
      <c r="F402" s="27"/>
      <c r="G402" s="27"/>
      <c r="J402" s="12"/>
      <c r="K402" s="12"/>
      <c r="L402" s="12"/>
    </row>
    <row r="403" ht="15.75" customHeight="1">
      <c r="A403" s="27"/>
      <c r="B403" s="27"/>
      <c r="C403" s="27"/>
      <c r="D403" s="27"/>
      <c r="E403" s="27"/>
      <c r="F403" s="27"/>
      <c r="G403" s="27"/>
      <c r="J403" s="12"/>
      <c r="K403" s="12"/>
      <c r="L403" s="12"/>
    </row>
    <row r="404" ht="15.75" customHeight="1">
      <c r="A404" s="27"/>
      <c r="B404" s="27"/>
      <c r="C404" s="27"/>
      <c r="D404" s="27"/>
      <c r="E404" s="27"/>
      <c r="F404" s="27"/>
      <c r="G404" s="27"/>
      <c r="J404" s="12"/>
      <c r="K404" s="12"/>
      <c r="L404" s="12"/>
    </row>
    <row r="405" ht="15.75" customHeight="1">
      <c r="A405" s="27"/>
      <c r="B405" s="27"/>
      <c r="C405" s="27"/>
      <c r="D405" s="27"/>
      <c r="E405" s="27"/>
      <c r="F405" s="27"/>
      <c r="G405" s="27"/>
      <c r="J405" s="12"/>
      <c r="K405" s="12"/>
      <c r="L405" s="12"/>
    </row>
    <row r="406" ht="15.75" customHeight="1">
      <c r="A406" s="27"/>
      <c r="B406" s="27"/>
      <c r="C406" s="27"/>
      <c r="D406" s="27"/>
      <c r="E406" s="27"/>
      <c r="F406" s="27"/>
      <c r="G406" s="27"/>
      <c r="J406" s="12"/>
      <c r="K406" s="12"/>
      <c r="L406" s="12"/>
    </row>
    <row r="407" ht="15.75" customHeight="1">
      <c r="A407" s="27"/>
      <c r="B407" s="27"/>
      <c r="C407" s="27"/>
      <c r="D407" s="27"/>
      <c r="E407" s="27"/>
      <c r="F407" s="27"/>
      <c r="G407" s="27"/>
      <c r="J407" s="12"/>
      <c r="K407" s="12"/>
      <c r="L407" s="12"/>
    </row>
    <row r="408" ht="15.75" customHeight="1">
      <c r="A408" s="27"/>
      <c r="B408" s="27"/>
      <c r="C408" s="27"/>
      <c r="D408" s="27"/>
      <c r="E408" s="27"/>
      <c r="F408" s="27"/>
      <c r="G408" s="27"/>
      <c r="J408" s="12"/>
      <c r="K408" s="12"/>
      <c r="L408" s="12"/>
    </row>
    <row r="409" ht="15.75" customHeight="1">
      <c r="A409" s="27"/>
      <c r="B409" s="27"/>
      <c r="C409" s="27"/>
      <c r="D409" s="27"/>
      <c r="E409" s="27"/>
      <c r="F409" s="27"/>
      <c r="G409" s="27"/>
      <c r="J409" s="12"/>
      <c r="K409" s="12"/>
      <c r="L409" s="12"/>
    </row>
    <row r="410" ht="15.75" customHeight="1">
      <c r="A410" s="27"/>
      <c r="B410" s="27"/>
      <c r="C410" s="27"/>
      <c r="D410" s="27"/>
      <c r="E410" s="27"/>
      <c r="F410" s="27"/>
      <c r="G410" s="27"/>
      <c r="J410" s="12"/>
      <c r="K410" s="12"/>
      <c r="L410" s="12"/>
    </row>
    <row r="411" ht="15.75" customHeight="1">
      <c r="A411" s="27"/>
      <c r="B411" s="27"/>
      <c r="C411" s="27"/>
      <c r="D411" s="27"/>
      <c r="E411" s="27"/>
      <c r="F411" s="27"/>
      <c r="G411" s="27"/>
      <c r="J411" s="12"/>
      <c r="K411" s="12"/>
      <c r="L411" s="12"/>
    </row>
    <row r="412" ht="15.75" customHeight="1">
      <c r="A412" s="27"/>
      <c r="B412" s="27"/>
      <c r="C412" s="27"/>
      <c r="D412" s="27"/>
      <c r="E412" s="27"/>
      <c r="F412" s="27"/>
      <c r="G412" s="27"/>
      <c r="J412" s="12"/>
      <c r="K412" s="12"/>
      <c r="L412" s="12"/>
    </row>
    <row r="413" ht="15.75" customHeight="1">
      <c r="A413" s="27"/>
      <c r="B413" s="27"/>
      <c r="C413" s="27"/>
      <c r="D413" s="27"/>
      <c r="E413" s="27"/>
      <c r="F413" s="27"/>
      <c r="G413" s="27"/>
      <c r="J413" s="12"/>
      <c r="K413" s="12"/>
      <c r="L413" s="12"/>
    </row>
    <row r="414" ht="15.75" customHeight="1">
      <c r="A414" s="27"/>
      <c r="B414" s="27"/>
      <c r="C414" s="27"/>
      <c r="D414" s="27"/>
      <c r="E414" s="27"/>
      <c r="F414" s="27"/>
      <c r="G414" s="27"/>
      <c r="J414" s="12"/>
      <c r="K414" s="12"/>
      <c r="L414" s="12"/>
    </row>
    <row r="415" ht="15.75" customHeight="1">
      <c r="A415" s="27"/>
      <c r="B415" s="27"/>
      <c r="C415" s="27"/>
      <c r="D415" s="27"/>
      <c r="E415" s="27"/>
      <c r="F415" s="27"/>
      <c r="G415" s="27"/>
      <c r="J415" s="12"/>
      <c r="K415" s="12"/>
      <c r="L415" s="12"/>
    </row>
    <row r="416" ht="15.75" customHeight="1">
      <c r="A416" s="27"/>
      <c r="B416" s="27"/>
      <c r="C416" s="27"/>
      <c r="D416" s="27"/>
      <c r="E416" s="27"/>
      <c r="F416" s="27"/>
      <c r="G416" s="27"/>
      <c r="J416" s="12"/>
      <c r="K416" s="12"/>
      <c r="L416" s="12"/>
    </row>
    <row r="417" ht="15.75" customHeight="1">
      <c r="A417" s="27"/>
      <c r="B417" s="27"/>
      <c r="C417" s="27"/>
      <c r="D417" s="27"/>
      <c r="E417" s="27"/>
      <c r="F417" s="27"/>
      <c r="G417" s="27"/>
      <c r="J417" s="12"/>
      <c r="K417" s="12"/>
      <c r="L417" s="12"/>
    </row>
    <row r="418" ht="15.75" customHeight="1">
      <c r="A418" s="27"/>
      <c r="B418" s="27"/>
      <c r="C418" s="27"/>
      <c r="D418" s="27"/>
      <c r="E418" s="27"/>
      <c r="F418" s="27"/>
      <c r="G418" s="27"/>
      <c r="J418" s="12"/>
      <c r="K418" s="12"/>
      <c r="L418" s="12"/>
    </row>
    <row r="419" ht="15.75" customHeight="1">
      <c r="A419" s="27"/>
      <c r="B419" s="27"/>
      <c r="C419" s="27"/>
      <c r="D419" s="27"/>
      <c r="E419" s="27"/>
      <c r="F419" s="27"/>
      <c r="G419" s="27"/>
      <c r="J419" s="12"/>
      <c r="K419" s="12"/>
      <c r="L419" s="12"/>
    </row>
    <row r="420" ht="15.75" customHeight="1">
      <c r="A420" s="27"/>
      <c r="B420" s="27"/>
      <c r="C420" s="27"/>
      <c r="D420" s="27"/>
      <c r="E420" s="27"/>
      <c r="F420" s="27"/>
      <c r="G420" s="27"/>
      <c r="J420" s="12"/>
      <c r="K420" s="12"/>
      <c r="L420" s="12"/>
    </row>
    <row r="421" ht="15.75" customHeight="1">
      <c r="A421" s="27"/>
      <c r="B421" s="27"/>
      <c r="C421" s="27"/>
      <c r="D421" s="27"/>
      <c r="E421" s="27"/>
      <c r="F421" s="27"/>
      <c r="G421" s="27"/>
      <c r="J421" s="12"/>
      <c r="K421" s="12"/>
      <c r="L421" s="12"/>
    </row>
    <row r="422" ht="15.75" customHeight="1">
      <c r="A422" s="27"/>
      <c r="B422" s="27"/>
      <c r="C422" s="27"/>
      <c r="D422" s="27"/>
      <c r="E422" s="27"/>
      <c r="F422" s="27"/>
      <c r="G422" s="27"/>
      <c r="J422" s="12"/>
      <c r="K422" s="12"/>
      <c r="L422" s="12"/>
    </row>
    <row r="423" ht="15.75" customHeight="1">
      <c r="A423" s="27"/>
      <c r="B423" s="27"/>
      <c r="C423" s="27"/>
      <c r="D423" s="27"/>
      <c r="E423" s="27"/>
      <c r="F423" s="27"/>
      <c r="G423" s="27"/>
      <c r="J423" s="12"/>
      <c r="K423" s="12"/>
      <c r="L423" s="12"/>
    </row>
    <row r="424" ht="15.75" customHeight="1">
      <c r="A424" s="27"/>
      <c r="B424" s="27"/>
      <c r="C424" s="27"/>
      <c r="D424" s="27"/>
      <c r="E424" s="27"/>
      <c r="F424" s="27"/>
      <c r="G424" s="27"/>
      <c r="J424" s="12"/>
      <c r="K424" s="12"/>
      <c r="L424" s="12"/>
    </row>
    <row r="425" ht="15.75" customHeight="1">
      <c r="A425" s="27"/>
      <c r="B425" s="27"/>
      <c r="C425" s="27"/>
      <c r="D425" s="27"/>
      <c r="E425" s="27"/>
      <c r="F425" s="27"/>
      <c r="G425" s="27"/>
      <c r="J425" s="12"/>
      <c r="K425" s="12"/>
      <c r="L425" s="12"/>
    </row>
    <row r="426" ht="15.75" customHeight="1">
      <c r="A426" s="27"/>
      <c r="B426" s="27"/>
      <c r="C426" s="27"/>
      <c r="D426" s="27"/>
      <c r="E426" s="27"/>
      <c r="F426" s="27"/>
      <c r="G426" s="27"/>
      <c r="J426" s="12"/>
      <c r="K426" s="12"/>
      <c r="L426" s="12"/>
    </row>
    <row r="427" ht="15.75" customHeight="1">
      <c r="A427" s="27"/>
      <c r="B427" s="27"/>
      <c r="C427" s="27"/>
      <c r="D427" s="27"/>
      <c r="E427" s="27"/>
      <c r="F427" s="27"/>
      <c r="G427" s="27"/>
      <c r="J427" s="12"/>
      <c r="K427" s="12"/>
      <c r="L427" s="12"/>
    </row>
    <row r="428" ht="15.75" customHeight="1">
      <c r="A428" s="27"/>
      <c r="B428" s="27"/>
      <c r="C428" s="27"/>
      <c r="D428" s="27"/>
      <c r="E428" s="27"/>
      <c r="F428" s="27"/>
      <c r="G428" s="27"/>
      <c r="J428" s="12"/>
      <c r="K428" s="12"/>
      <c r="L428" s="12"/>
    </row>
    <row r="429" ht="15.75" customHeight="1">
      <c r="A429" s="27"/>
      <c r="B429" s="27"/>
      <c r="C429" s="27"/>
      <c r="D429" s="27"/>
      <c r="E429" s="27"/>
      <c r="F429" s="27"/>
      <c r="G429" s="27"/>
      <c r="J429" s="12"/>
      <c r="K429" s="12"/>
      <c r="L429" s="12"/>
    </row>
    <row r="430" ht="15.75" customHeight="1">
      <c r="A430" s="27"/>
      <c r="B430" s="27"/>
      <c r="C430" s="27"/>
      <c r="D430" s="27"/>
      <c r="E430" s="27"/>
      <c r="F430" s="27"/>
      <c r="G430" s="27"/>
      <c r="J430" s="12"/>
      <c r="K430" s="12"/>
      <c r="L430" s="12"/>
    </row>
    <row r="431" ht="15.75" customHeight="1">
      <c r="A431" s="27"/>
      <c r="B431" s="27"/>
      <c r="C431" s="27"/>
      <c r="D431" s="27"/>
      <c r="E431" s="27"/>
      <c r="F431" s="27"/>
      <c r="G431" s="27"/>
      <c r="J431" s="12"/>
      <c r="K431" s="12"/>
      <c r="L431" s="12"/>
    </row>
    <row r="432" ht="15.75" customHeight="1">
      <c r="A432" s="27"/>
      <c r="B432" s="27"/>
      <c r="C432" s="27"/>
      <c r="D432" s="27"/>
      <c r="E432" s="27"/>
      <c r="F432" s="27"/>
      <c r="G432" s="27"/>
      <c r="J432" s="12"/>
      <c r="K432" s="12"/>
      <c r="L432" s="12"/>
    </row>
    <row r="433" ht="15.75" customHeight="1">
      <c r="A433" s="27"/>
      <c r="B433" s="27"/>
      <c r="C433" s="27"/>
      <c r="D433" s="27"/>
      <c r="E433" s="27"/>
      <c r="F433" s="27"/>
      <c r="G433" s="27"/>
      <c r="J433" s="12"/>
      <c r="K433" s="12"/>
      <c r="L433" s="12"/>
    </row>
    <row r="434" ht="15.75" customHeight="1">
      <c r="A434" s="27"/>
      <c r="B434" s="27"/>
      <c r="C434" s="27"/>
      <c r="D434" s="27"/>
      <c r="E434" s="27"/>
      <c r="F434" s="27"/>
      <c r="G434" s="27"/>
      <c r="J434" s="12"/>
      <c r="K434" s="12"/>
      <c r="L434" s="12"/>
    </row>
    <row r="435" ht="15.75" customHeight="1">
      <c r="A435" s="27"/>
      <c r="B435" s="27"/>
      <c r="C435" s="27"/>
      <c r="D435" s="27"/>
      <c r="E435" s="27"/>
      <c r="F435" s="27"/>
      <c r="G435" s="27"/>
      <c r="J435" s="12"/>
      <c r="K435" s="12"/>
      <c r="L435" s="12"/>
    </row>
    <row r="436" ht="15.75" customHeight="1">
      <c r="A436" s="27"/>
      <c r="B436" s="27"/>
      <c r="C436" s="27"/>
      <c r="D436" s="27"/>
      <c r="E436" s="27"/>
      <c r="F436" s="27"/>
      <c r="G436" s="27"/>
      <c r="J436" s="12"/>
      <c r="K436" s="12"/>
      <c r="L436" s="12"/>
    </row>
    <row r="437" ht="15.75" customHeight="1">
      <c r="A437" s="27"/>
      <c r="B437" s="27"/>
      <c r="C437" s="27"/>
      <c r="D437" s="27"/>
      <c r="E437" s="27"/>
      <c r="F437" s="27"/>
      <c r="G437" s="27"/>
      <c r="J437" s="12"/>
      <c r="K437" s="12"/>
      <c r="L437" s="12"/>
    </row>
    <row r="438" ht="15.75" customHeight="1">
      <c r="A438" s="27"/>
      <c r="B438" s="27"/>
      <c r="C438" s="27"/>
      <c r="D438" s="27"/>
      <c r="E438" s="27"/>
      <c r="F438" s="27"/>
      <c r="G438" s="27"/>
      <c r="J438" s="12"/>
      <c r="K438" s="12"/>
      <c r="L438" s="12"/>
    </row>
    <row r="439" ht="15.75" customHeight="1">
      <c r="A439" s="27"/>
      <c r="B439" s="27"/>
      <c r="C439" s="27"/>
      <c r="D439" s="27"/>
      <c r="E439" s="27"/>
      <c r="F439" s="27"/>
      <c r="G439" s="27"/>
      <c r="J439" s="12"/>
      <c r="K439" s="12"/>
      <c r="L439" s="12"/>
    </row>
    <row r="440" ht="15.75" customHeight="1">
      <c r="A440" s="27"/>
      <c r="B440" s="27"/>
      <c r="C440" s="27"/>
      <c r="D440" s="27"/>
      <c r="E440" s="27"/>
      <c r="F440" s="27"/>
      <c r="G440" s="27"/>
      <c r="J440" s="12"/>
      <c r="K440" s="12"/>
      <c r="L440" s="12"/>
    </row>
    <row r="441" ht="15.75" customHeight="1">
      <c r="A441" s="27"/>
      <c r="B441" s="27"/>
      <c r="C441" s="27"/>
      <c r="D441" s="27"/>
      <c r="E441" s="27"/>
      <c r="F441" s="27"/>
      <c r="G441" s="27"/>
      <c r="J441" s="12"/>
      <c r="K441" s="12"/>
      <c r="L441" s="12"/>
    </row>
    <row r="442" ht="15.75" customHeight="1">
      <c r="A442" s="27"/>
      <c r="B442" s="27"/>
      <c r="C442" s="27"/>
      <c r="D442" s="27"/>
      <c r="E442" s="27"/>
      <c r="F442" s="27"/>
      <c r="G442" s="27"/>
      <c r="J442" s="12"/>
      <c r="K442" s="12"/>
      <c r="L442" s="12"/>
    </row>
    <row r="443" ht="15.75" customHeight="1">
      <c r="A443" s="27"/>
      <c r="B443" s="27"/>
      <c r="C443" s="27"/>
      <c r="D443" s="27"/>
      <c r="E443" s="27"/>
      <c r="F443" s="27"/>
      <c r="G443" s="27"/>
      <c r="J443" s="12"/>
      <c r="K443" s="12"/>
      <c r="L443" s="12"/>
    </row>
    <row r="444" ht="15.75" customHeight="1">
      <c r="A444" s="27"/>
      <c r="B444" s="27"/>
      <c r="C444" s="27"/>
      <c r="D444" s="27"/>
      <c r="E444" s="27"/>
      <c r="F444" s="27"/>
      <c r="G444" s="27"/>
      <c r="J444" s="12"/>
      <c r="K444" s="12"/>
      <c r="L444" s="12"/>
    </row>
    <row r="445" ht="15.75" customHeight="1">
      <c r="A445" s="27"/>
      <c r="B445" s="27"/>
      <c r="C445" s="27"/>
      <c r="D445" s="27"/>
      <c r="E445" s="27"/>
      <c r="F445" s="27"/>
      <c r="G445" s="27"/>
      <c r="J445" s="12"/>
      <c r="K445" s="12"/>
      <c r="L445" s="12"/>
    </row>
    <row r="446" ht="15.75" customHeight="1">
      <c r="A446" s="27"/>
      <c r="B446" s="27"/>
      <c r="C446" s="27"/>
      <c r="D446" s="27"/>
      <c r="E446" s="27"/>
      <c r="F446" s="27"/>
      <c r="G446" s="27"/>
      <c r="J446" s="12"/>
      <c r="K446" s="12"/>
      <c r="L446" s="12"/>
    </row>
    <row r="447" ht="15.75" customHeight="1">
      <c r="A447" s="27"/>
      <c r="B447" s="27"/>
      <c r="C447" s="27"/>
      <c r="D447" s="27"/>
      <c r="E447" s="27"/>
      <c r="F447" s="27"/>
      <c r="G447" s="27"/>
      <c r="J447" s="12"/>
      <c r="K447" s="12"/>
      <c r="L447" s="12"/>
    </row>
    <row r="448" ht="15.75" customHeight="1">
      <c r="A448" s="27"/>
      <c r="B448" s="27"/>
      <c r="C448" s="27"/>
      <c r="D448" s="27"/>
      <c r="E448" s="27"/>
      <c r="F448" s="27"/>
      <c r="G448" s="27"/>
      <c r="J448" s="12"/>
      <c r="K448" s="12"/>
      <c r="L448" s="12"/>
    </row>
    <row r="449" ht="15.75" customHeight="1">
      <c r="A449" s="27"/>
      <c r="B449" s="27"/>
      <c r="C449" s="27"/>
      <c r="D449" s="27"/>
      <c r="E449" s="27"/>
      <c r="F449" s="27"/>
      <c r="G449" s="27"/>
      <c r="J449" s="12"/>
      <c r="K449" s="12"/>
      <c r="L449" s="12"/>
    </row>
    <row r="450" ht="15.75" customHeight="1">
      <c r="A450" s="27"/>
      <c r="B450" s="27"/>
      <c r="C450" s="27"/>
      <c r="D450" s="27"/>
      <c r="E450" s="27"/>
      <c r="F450" s="27"/>
      <c r="G450" s="27"/>
      <c r="J450" s="12"/>
      <c r="K450" s="12"/>
      <c r="L450" s="12"/>
    </row>
    <row r="451" ht="15.75" customHeight="1">
      <c r="A451" s="27"/>
      <c r="B451" s="27"/>
      <c r="C451" s="27"/>
      <c r="D451" s="27"/>
      <c r="E451" s="27"/>
      <c r="F451" s="27"/>
      <c r="G451" s="27"/>
      <c r="J451" s="12"/>
      <c r="K451" s="12"/>
      <c r="L451" s="12"/>
    </row>
    <row r="452" ht="15.75" customHeight="1">
      <c r="A452" s="27"/>
      <c r="B452" s="27"/>
      <c r="C452" s="27"/>
      <c r="D452" s="27"/>
      <c r="E452" s="27"/>
      <c r="F452" s="27"/>
      <c r="G452" s="27"/>
      <c r="J452" s="12"/>
      <c r="K452" s="12"/>
      <c r="L452" s="12"/>
    </row>
    <row r="453" ht="15.75" customHeight="1">
      <c r="A453" s="27"/>
      <c r="B453" s="27"/>
      <c r="C453" s="27"/>
      <c r="D453" s="27"/>
      <c r="E453" s="27"/>
      <c r="F453" s="27"/>
      <c r="G453" s="27"/>
      <c r="J453" s="12"/>
      <c r="K453" s="12"/>
      <c r="L453" s="12"/>
    </row>
    <row r="454" ht="15.75" customHeight="1">
      <c r="A454" s="27"/>
      <c r="B454" s="27"/>
      <c r="C454" s="27"/>
      <c r="D454" s="27"/>
      <c r="E454" s="27"/>
      <c r="F454" s="27"/>
      <c r="G454" s="27"/>
      <c r="J454" s="12"/>
      <c r="K454" s="12"/>
      <c r="L454" s="12"/>
    </row>
    <row r="455" ht="15.75" customHeight="1">
      <c r="A455" s="27"/>
      <c r="B455" s="27"/>
      <c r="C455" s="27"/>
      <c r="D455" s="27"/>
      <c r="E455" s="27"/>
      <c r="F455" s="27"/>
      <c r="G455" s="27"/>
      <c r="J455" s="12"/>
      <c r="K455" s="12"/>
      <c r="L455" s="12"/>
    </row>
    <row r="456" ht="15.75" customHeight="1">
      <c r="A456" s="27"/>
      <c r="B456" s="27"/>
      <c r="C456" s="27"/>
      <c r="D456" s="27"/>
      <c r="E456" s="27"/>
      <c r="F456" s="27"/>
      <c r="G456" s="27"/>
      <c r="J456" s="12"/>
      <c r="K456" s="12"/>
      <c r="L456" s="12"/>
    </row>
    <row r="457" ht="15.75" customHeight="1">
      <c r="A457" s="27"/>
      <c r="B457" s="27"/>
      <c r="C457" s="27"/>
      <c r="D457" s="27"/>
      <c r="E457" s="27"/>
      <c r="F457" s="27"/>
      <c r="G457" s="27"/>
      <c r="J457" s="12"/>
      <c r="K457" s="12"/>
      <c r="L457" s="12"/>
    </row>
    <row r="458" ht="15.75" customHeight="1">
      <c r="A458" s="27"/>
      <c r="B458" s="27"/>
      <c r="C458" s="27"/>
      <c r="D458" s="27"/>
      <c r="E458" s="27"/>
      <c r="F458" s="27"/>
      <c r="G458" s="27"/>
      <c r="J458" s="12"/>
      <c r="K458" s="12"/>
      <c r="L458" s="12"/>
    </row>
    <row r="459" ht="15.75" customHeight="1">
      <c r="A459" s="27"/>
      <c r="B459" s="27"/>
      <c r="C459" s="27"/>
      <c r="D459" s="27"/>
      <c r="E459" s="27"/>
      <c r="F459" s="27"/>
      <c r="G459" s="27"/>
      <c r="J459" s="12"/>
      <c r="K459" s="12"/>
      <c r="L459" s="12"/>
    </row>
    <row r="460" ht="15.75" customHeight="1">
      <c r="A460" s="27"/>
      <c r="B460" s="27"/>
      <c r="C460" s="27"/>
      <c r="D460" s="27"/>
      <c r="E460" s="27"/>
      <c r="F460" s="27"/>
      <c r="G460" s="27"/>
      <c r="J460" s="12"/>
      <c r="K460" s="12"/>
      <c r="L460" s="12"/>
    </row>
    <row r="461" ht="15.75" customHeight="1">
      <c r="A461" s="27"/>
      <c r="B461" s="27"/>
      <c r="C461" s="27"/>
      <c r="D461" s="27"/>
      <c r="E461" s="27"/>
      <c r="F461" s="27"/>
      <c r="G461" s="27"/>
      <c r="J461" s="12"/>
      <c r="K461" s="12"/>
      <c r="L461" s="12"/>
    </row>
    <row r="462" ht="15.75" customHeight="1">
      <c r="A462" s="27"/>
      <c r="B462" s="27"/>
      <c r="C462" s="27"/>
      <c r="D462" s="27"/>
      <c r="E462" s="27"/>
      <c r="F462" s="27"/>
      <c r="G462" s="27"/>
      <c r="J462" s="12"/>
      <c r="K462" s="12"/>
      <c r="L462" s="12"/>
    </row>
    <row r="463" ht="15.75" customHeight="1">
      <c r="A463" s="27"/>
      <c r="B463" s="27"/>
      <c r="C463" s="27"/>
      <c r="D463" s="27"/>
      <c r="E463" s="27"/>
      <c r="F463" s="27"/>
      <c r="G463" s="27"/>
      <c r="J463" s="12"/>
      <c r="K463" s="12"/>
      <c r="L463" s="12"/>
    </row>
    <row r="464" ht="15.75" customHeight="1">
      <c r="A464" s="27"/>
      <c r="B464" s="27"/>
      <c r="C464" s="27"/>
      <c r="D464" s="27"/>
      <c r="E464" s="27"/>
      <c r="F464" s="27"/>
      <c r="G464" s="27"/>
      <c r="J464" s="12"/>
      <c r="K464" s="12"/>
      <c r="L464" s="12"/>
    </row>
    <row r="465" ht="15.75" customHeight="1">
      <c r="A465" s="27"/>
      <c r="B465" s="27"/>
      <c r="C465" s="27"/>
      <c r="D465" s="27"/>
      <c r="E465" s="27"/>
      <c r="F465" s="27"/>
      <c r="G465" s="27"/>
      <c r="J465" s="12"/>
      <c r="K465" s="12"/>
      <c r="L465" s="12"/>
    </row>
    <row r="466" ht="15.75" customHeight="1">
      <c r="A466" s="27"/>
      <c r="B466" s="27"/>
      <c r="C466" s="27"/>
      <c r="D466" s="27"/>
      <c r="E466" s="27"/>
      <c r="F466" s="27"/>
      <c r="G466" s="27"/>
      <c r="J466" s="12"/>
      <c r="K466" s="12"/>
      <c r="L466" s="12"/>
    </row>
    <row r="467" ht="15.75" customHeight="1">
      <c r="A467" s="27"/>
      <c r="B467" s="27"/>
      <c r="C467" s="27"/>
      <c r="D467" s="27"/>
      <c r="E467" s="27"/>
      <c r="F467" s="27"/>
      <c r="G467" s="27"/>
      <c r="J467" s="12"/>
      <c r="K467" s="12"/>
      <c r="L467" s="12"/>
    </row>
    <row r="468" ht="15.75" customHeight="1">
      <c r="A468" s="27"/>
      <c r="B468" s="27"/>
      <c r="C468" s="27"/>
      <c r="D468" s="27"/>
      <c r="E468" s="27"/>
      <c r="F468" s="27"/>
      <c r="G468" s="27"/>
      <c r="J468" s="12"/>
      <c r="K468" s="12"/>
      <c r="L468" s="12"/>
    </row>
    <row r="469" ht="15.75" customHeight="1">
      <c r="A469" s="27"/>
      <c r="B469" s="27"/>
      <c r="C469" s="27"/>
      <c r="D469" s="27"/>
      <c r="E469" s="27"/>
      <c r="F469" s="27"/>
      <c r="G469" s="27"/>
      <c r="J469" s="12"/>
      <c r="K469" s="12"/>
      <c r="L469" s="12"/>
    </row>
    <row r="470" ht="15.75" customHeight="1">
      <c r="A470" s="27"/>
      <c r="B470" s="27"/>
      <c r="C470" s="27"/>
      <c r="D470" s="27"/>
      <c r="E470" s="27"/>
      <c r="F470" s="27"/>
      <c r="G470" s="27"/>
      <c r="J470" s="12"/>
      <c r="K470" s="12"/>
      <c r="L470" s="12"/>
    </row>
    <row r="471" ht="15.75" customHeight="1">
      <c r="A471" s="27"/>
      <c r="B471" s="27"/>
      <c r="C471" s="27"/>
      <c r="D471" s="27"/>
      <c r="E471" s="27"/>
      <c r="F471" s="27"/>
      <c r="G471" s="27"/>
      <c r="J471" s="12"/>
      <c r="K471" s="12"/>
      <c r="L471" s="12"/>
    </row>
    <row r="472" ht="15.75" customHeight="1">
      <c r="A472" s="27"/>
      <c r="B472" s="27"/>
      <c r="C472" s="27"/>
      <c r="D472" s="27"/>
      <c r="E472" s="27"/>
      <c r="F472" s="27"/>
      <c r="G472" s="27"/>
      <c r="J472" s="12"/>
      <c r="K472" s="12"/>
      <c r="L472" s="12"/>
    </row>
    <row r="473" ht="15.75" customHeight="1">
      <c r="A473" s="27"/>
      <c r="B473" s="27"/>
      <c r="C473" s="27"/>
      <c r="D473" s="27"/>
      <c r="E473" s="27"/>
      <c r="F473" s="27"/>
      <c r="G473" s="27"/>
      <c r="J473" s="12"/>
      <c r="K473" s="12"/>
      <c r="L473" s="12"/>
    </row>
    <row r="474" ht="15.75" customHeight="1">
      <c r="A474" s="27"/>
      <c r="B474" s="27"/>
      <c r="C474" s="27"/>
      <c r="D474" s="27"/>
      <c r="E474" s="27"/>
      <c r="F474" s="27"/>
      <c r="G474" s="27"/>
      <c r="J474" s="12"/>
      <c r="K474" s="12"/>
      <c r="L474" s="12"/>
    </row>
    <row r="475" ht="15.75" customHeight="1">
      <c r="A475" s="27"/>
      <c r="B475" s="27"/>
      <c r="C475" s="27"/>
      <c r="D475" s="27"/>
      <c r="E475" s="27"/>
      <c r="F475" s="27"/>
      <c r="G475" s="27"/>
      <c r="J475" s="12"/>
      <c r="K475" s="12"/>
      <c r="L475" s="12"/>
    </row>
    <row r="476" ht="15.75" customHeight="1">
      <c r="A476" s="27"/>
      <c r="B476" s="27"/>
      <c r="C476" s="27"/>
      <c r="D476" s="27"/>
      <c r="E476" s="27"/>
      <c r="F476" s="27"/>
      <c r="G476" s="27"/>
      <c r="J476" s="12"/>
      <c r="K476" s="12"/>
      <c r="L476" s="12"/>
    </row>
    <row r="477" ht="15.75" customHeight="1">
      <c r="A477" s="27"/>
      <c r="B477" s="27"/>
      <c r="C477" s="27"/>
      <c r="D477" s="27"/>
      <c r="E477" s="27"/>
      <c r="F477" s="27"/>
      <c r="G477" s="27"/>
      <c r="J477" s="12"/>
      <c r="K477" s="12"/>
      <c r="L477" s="12"/>
    </row>
    <row r="478" ht="15.75" customHeight="1">
      <c r="A478" s="27"/>
      <c r="B478" s="27"/>
      <c r="C478" s="27"/>
      <c r="D478" s="27"/>
      <c r="E478" s="27"/>
      <c r="F478" s="27"/>
      <c r="G478" s="27"/>
      <c r="J478" s="12"/>
      <c r="K478" s="12"/>
      <c r="L478" s="12"/>
    </row>
    <row r="479" ht="15.75" customHeight="1">
      <c r="A479" s="27"/>
      <c r="B479" s="27"/>
      <c r="C479" s="27"/>
      <c r="D479" s="27"/>
      <c r="E479" s="27"/>
      <c r="F479" s="27"/>
      <c r="G479" s="27"/>
      <c r="J479" s="12"/>
      <c r="K479" s="12"/>
      <c r="L479" s="12"/>
    </row>
    <row r="480" ht="15.75" customHeight="1">
      <c r="A480" s="27"/>
      <c r="B480" s="27"/>
      <c r="C480" s="27"/>
      <c r="D480" s="27"/>
      <c r="E480" s="27"/>
      <c r="F480" s="27"/>
      <c r="G480" s="27"/>
      <c r="J480" s="12"/>
      <c r="K480" s="12"/>
      <c r="L480" s="12"/>
    </row>
    <row r="481" ht="15.75" customHeight="1">
      <c r="A481" s="27"/>
      <c r="B481" s="27"/>
      <c r="C481" s="27"/>
      <c r="D481" s="27"/>
      <c r="E481" s="27"/>
      <c r="F481" s="27"/>
      <c r="G481" s="27"/>
      <c r="J481" s="12"/>
      <c r="K481" s="12"/>
      <c r="L481" s="12"/>
    </row>
    <row r="482" ht="15.75" customHeight="1">
      <c r="A482" s="27"/>
      <c r="B482" s="27"/>
      <c r="C482" s="27"/>
      <c r="D482" s="27"/>
      <c r="E482" s="27"/>
      <c r="F482" s="27"/>
      <c r="G482" s="27"/>
      <c r="J482" s="12"/>
      <c r="K482" s="12"/>
      <c r="L482" s="12"/>
    </row>
    <row r="483" ht="15.75" customHeight="1">
      <c r="A483" s="27"/>
      <c r="B483" s="27"/>
      <c r="C483" s="27"/>
      <c r="D483" s="27"/>
      <c r="E483" s="27"/>
      <c r="F483" s="27"/>
      <c r="G483" s="27"/>
      <c r="J483" s="12"/>
      <c r="K483" s="12"/>
      <c r="L483" s="12"/>
    </row>
    <row r="484" ht="15.75" customHeight="1">
      <c r="A484" s="27"/>
      <c r="B484" s="27"/>
      <c r="C484" s="27"/>
      <c r="D484" s="27"/>
      <c r="E484" s="27"/>
      <c r="F484" s="27"/>
      <c r="G484" s="27"/>
      <c r="J484" s="12"/>
      <c r="K484" s="12"/>
      <c r="L484" s="12"/>
    </row>
    <row r="485" ht="15.75" customHeight="1">
      <c r="A485" s="27"/>
      <c r="B485" s="27"/>
      <c r="C485" s="27"/>
      <c r="D485" s="27"/>
      <c r="E485" s="27"/>
      <c r="F485" s="27"/>
      <c r="G485" s="27"/>
      <c r="J485" s="12"/>
      <c r="K485" s="12"/>
      <c r="L485" s="12"/>
    </row>
    <row r="486" ht="15.75" customHeight="1">
      <c r="A486" s="27"/>
      <c r="B486" s="27"/>
      <c r="C486" s="27"/>
      <c r="D486" s="27"/>
      <c r="E486" s="27"/>
      <c r="F486" s="27"/>
      <c r="G486" s="27"/>
      <c r="J486" s="12"/>
      <c r="K486" s="12"/>
      <c r="L486" s="12"/>
    </row>
    <row r="487" ht="15.75" customHeight="1">
      <c r="A487" s="27"/>
      <c r="B487" s="27"/>
      <c r="C487" s="27"/>
      <c r="D487" s="27"/>
      <c r="E487" s="27"/>
      <c r="F487" s="27"/>
      <c r="G487" s="27"/>
      <c r="J487" s="12"/>
      <c r="K487" s="12"/>
      <c r="L487" s="12"/>
    </row>
    <row r="488" ht="15.75" customHeight="1">
      <c r="A488" s="27"/>
      <c r="B488" s="27"/>
      <c r="C488" s="27"/>
      <c r="D488" s="27"/>
      <c r="E488" s="27"/>
      <c r="F488" s="27"/>
      <c r="G488" s="27"/>
      <c r="J488" s="12"/>
      <c r="K488" s="12"/>
      <c r="L488" s="12"/>
    </row>
    <row r="489" ht="15.75" customHeight="1">
      <c r="A489" s="27"/>
      <c r="B489" s="27"/>
      <c r="C489" s="27"/>
      <c r="D489" s="27"/>
      <c r="E489" s="27"/>
      <c r="F489" s="27"/>
      <c r="G489" s="27"/>
      <c r="J489" s="12"/>
      <c r="K489" s="12"/>
      <c r="L489" s="12"/>
    </row>
    <row r="490" ht="15.75" customHeight="1">
      <c r="A490" s="27"/>
      <c r="B490" s="27"/>
      <c r="C490" s="27"/>
      <c r="D490" s="27"/>
      <c r="E490" s="27"/>
      <c r="F490" s="27"/>
      <c r="G490" s="27"/>
      <c r="J490" s="12"/>
      <c r="K490" s="12"/>
      <c r="L490" s="12"/>
    </row>
    <row r="491" ht="15.75" customHeight="1">
      <c r="A491" s="27"/>
      <c r="B491" s="27"/>
      <c r="C491" s="27"/>
      <c r="D491" s="27"/>
      <c r="E491" s="27"/>
      <c r="F491" s="27"/>
      <c r="G491" s="27"/>
      <c r="J491" s="12"/>
      <c r="K491" s="12"/>
      <c r="L491" s="12"/>
    </row>
    <row r="492" ht="15.75" customHeight="1">
      <c r="A492" s="27"/>
      <c r="B492" s="27"/>
      <c r="C492" s="27"/>
      <c r="D492" s="27"/>
      <c r="E492" s="27"/>
      <c r="F492" s="27"/>
      <c r="G492" s="27"/>
      <c r="J492" s="12"/>
      <c r="K492" s="12"/>
      <c r="L492" s="12"/>
    </row>
    <row r="493" ht="15.75" customHeight="1">
      <c r="A493" s="27"/>
      <c r="B493" s="27"/>
      <c r="C493" s="27"/>
      <c r="D493" s="27"/>
      <c r="E493" s="27"/>
      <c r="F493" s="27"/>
      <c r="G493" s="27"/>
      <c r="J493" s="12"/>
      <c r="K493" s="12"/>
      <c r="L493" s="12"/>
    </row>
    <row r="494" ht="15.75" customHeight="1">
      <c r="A494" s="27"/>
      <c r="B494" s="27"/>
      <c r="C494" s="27"/>
      <c r="D494" s="27"/>
      <c r="E494" s="27"/>
      <c r="F494" s="27"/>
      <c r="G494" s="27"/>
      <c r="J494" s="12"/>
      <c r="K494" s="12"/>
      <c r="L494" s="12"/>
    </row>
    <row r="495" ht="15.75" customHeight="1">
      <c r="A495" s="27"/>
      <c r="B495" s="27"/>
      <c r="C495" s="27"/>
      <c r="D495" s="27"/>
      <c r="E495" s="27"/>
      <c r="F495" s="27"/>
      <c r="G495" s="27"/>
      <c r="J495" s="12"/>
      <c r="K495" s="12"/>
      <c r="L495" s="12"/>
    </row>
    <row r="496" ht="15.75" customHeight="1">
      <c r="A496" s="27"/>
      <c r="B496" s="27"/>
      <c r="C496" s="27"/>
      <c r="D496" s="27"/>
      <c r="E496" s="27"/>
      <c r="F496" s="27"/>
      <c r="G496" s="27"/>
      <c r="J496" s="12"/>
      <c r="K496" s="12"/>
      <c r="L496" s="12"/>
    </row>
    <row r="497" ht="15.75" customHeight="1">
      <c r="A497" s="27"/>
      <c r="B497" s="27"/>
      <c r="C497" s="27"/>
      <c r="D497" s="27"/>
      <c r="E497" s="27"/>
      <c r="F497" s="27"/>
      <c r="G497" s="27"/>
      <c r="J497" s="12"/>
      <c r="K497" s="12"/>
      <c r="L497" s="12"/>
    </row>
    <row r="498" ht="15.75" customHeight="1">
      <c r="A498" s="27"/>
      <c r="B498" s="27"/>
      <c r="C498" s="27"/>
      <c r="D498" s="27"/>
      <c r="E498" s="27"/>
      <c r="F498" s="27"/>
      <c r="G498" s="27"/>
      <c r="J498" s="12"/>
      <c r="K498" s="12"/>
      <c r="L498" s="12"/>
    </row>
    <row r="499" ht="15.75" customHeight="1">
      <c r="A499" s="27"/>
      <c r="B499" s="27"/>
      <c r="C499" s="27"/>
      <c r="D499" s="27"/>
      <c r="E499" s="27"/>
      <c r="F499" s="27"/>
      <c r="G499" s="27"/>
      <c r="J499" s="12"/>
      <c r="K499" s="12"/>
      <c r="L499" s="12"/>
    </row>
    <row r="500" ht="15.75" customHeight="1">
      <c r="A500" s="27"/>
      <c r="B500" s="27"/>
      <c r="C500" s="27"/>
      <c r="D500" s="27"/>
      <c r="E500" s="27"/>
      <c r="F500" s="27"/>
      <c r="G500" s="27"/>
      <c r="J500" s="12"/>
      <c r="K500" s="12"/>
      <c r="L500" s="12"/>
    </row>
    <row r="501" ht="15.75" customHeight="1">
      <c r="A501" s="27"/>
      <c r="B501" s="27"/>
      <c r="C501" s="27"/>
      <c r="D501" s="27"/>
      <c r="E501" s="27"/>
      <c r="F501" s="27"/>
      <c r="G501" s="27"/>
      <c r="J501" s="12"/>
      <c r="K501" s="12"/>
      <c r="L501" s="12"/>
    </row>
    <row r="502" ht="15.75" customHeight="1">
      <c r="A502" s="27"/>
      <c r="B502" s="27"/>
      <c r="C502" s="27"/>
      <c r="D502" s="27"/>
      <c r="E502" s="27"/>
      <c r="F502" s="27"/>
      <c r="G502" s="27"/>
      <c r="J502" s="12"/>
      <c r="K502" s="12"/>
      <c r="L502" s="12"/>
    </row>
    <row r="503" ht="15.75" customHeight="1">
      <c r="A503" s="27"/>
      <c r="B503" s="27"/>
      <c r="C503" s="27"/>
      <c r="D503" s="27"/>
      <c r="E503" s="27"/>
      <c r="F503" s="27"/>
      <c r="G503" s="27"/>
      <c r="J503" s="12"/>
      <c r="K503" s="12"/>
      <c r="L503" s="12"/>
    </row>
    <row r="504" ht="15.75" customHeight="1">
      <c r="A504" s="27"/>
      <c r="B504" s="27"/>
      <c r="C504" s="27"/>
      <c r="D504" s="27"/>
      <c r="E504" s="27"/>
      <c r="F504" s="27"/>
      <c r="G504" s="27"/>
      <c r="J504" s="12"/>
      <c r="K504" s="12"/>
      <c r="L504" s="12"/>
    </row>
    <row r="505" ht="15.75" customHeight="1">
      <c r="A505" s="27"/>
      <c r="B505" s="27"/>
      <c r="C505" s="27"/>
      <c r="D505" s="27"/>
      <c r="E505" s="27"/>
      <c r="F505" s="27"/>
      <c r="G505" s="27"/>
      <c r="J505" s="12"/>
      <c r="K505" s="12"/>
      <c r="L505" s="12"/>
    </row>
    <row r="506" ht="15.75" customHeight="1">
      <c r="A506" s="27"/>
      <c r="B506" s="27"/>
      <c r="C506" s="27"/>
      <c r="D506" s="27"/>
      <c r="E506" s="27"/>
      <c r="F506" s="27"/>
      <c r="G506" s="27"/>
      <c r="J506" s="12"/>
      <c r="K506" s="12"/>
      <c r="L506" s="12"/>
    </row>
    <row r="507" ht="15.75" customHeight="1">
      <c r="A507" s="27"/>
      <c r="B507" s="27"/>
      <c r="C507" s="27"/>
      <c r="D507" s="27"/>
      <c r="E507" s="27"/>
      <c r="F507" s="27"/>
      <c r="G507" s="27"/>
      <c r="J507" s="12"/>
      <c r="K507" s="12"/>
      <c r="L507" s="12"/>
    </row>
    <row r="508" ht="15.75" customHeight="1">
      <c r="A508" s="27"/>
      <c r="B508" s="27"/>
      <c r="C508" s="27"/>
      <c r="D508" s="27"/>
      <c r="E508" s="27"/>
      <c r="F508" s="27"/>
      <c r="G508" s="27"/>
      <c r="J508" s="12"/>
      <c r="K508" s="12"/>
      <c r="L508" s="12"/>
    </row>
    <row r="509" ht="15.75" customHeight="1">
      <c r="A509" s="27"/>
      <c r="B509" s="27"/>
      <c r="C509" s="27"/>
      <c r="D509" s="27"/>
      <c r="E509" s="27"/>
      <c r="F509" s="27"/>
      <c r="G509" s="27"/>
      <c r="J509" s="12"/>
      <c r="K509" s="12"/>
      <c r="L509" s="12"/>
    </row>
    <row r="510" ht="15.75" customHeight="1">
      <c r="A510" s="27"/>
      <c r="B510" s="27"/>
      <c r="C510" s="27"/>
      <c r="D510" s="27"/>
      <c r="E510" s="27"/>
      <c r="F510" s="27"/>
      <c r="G510" s="27"/>
      <c r="J510" s="12"/>
      <c r="K510" s="12"/>
      <c r="L510" s="12"/>
    </row>
    <row r="511" ht="15.75" customHeight="1">
      <c r="A511" s="27"/>
      <c r="B511" s="27"/>
      <c r="C511" s="27"/>
      <c r="D511" s="27"/>
      <c r="E511" s="27"/>
      <c r="F511" s="27"/>
      <c r="G511" s="27"/>
      <c r="J511" s="12"/>
      <c r="K511" s="12"/>
      <c r="L511" s="12"/>
    </row>
    <row r="512" ht="15.75" customHeight="1">
      <c r="A512" s="27"/>
      <c r="B512" s="27"/>
      <c r="C512" s="27"/>
      <c r="D512" s="27"/>
      <c r="E512" s="27"/>
      <c r="F512" s="27"/>
      <c r="G512" s="27"/>
      <c r="J512" s="12"/>
      <c r="K512" s="12"/>
      <c r="L512" s="12"/>
    </row>
    <row r="513" ht="15.75" customHeight="1">
      <c r="A513" s="27"/>
      <c r="B513" s="27"/>
      <c r="C513" s="27"/>
      <c r="D513" s="27"/>
      <c r="E513" s="27"/>
      <c r="F513" s="27"/>
      <c r="G513" s="27"/>
      <c r="J513" s="12"/>
      <c r="K513" s="12"/>
      <c r="L513" s="12"/>
    </row>
    <row r="514" ht="15.75" customHeight="1">
      <c r="A514" s="27"/>
      <c r="B514" s="27"/>
      <c r="C514" s="27"/>
      <c r="D514" s="27"/>
      <c r="E514" s="27"/>
      <c r="F514" s="27"/>
      <c r="G514" s="27"/>
      <c r="J514" s="12"/>
      <c r="K514" s="12"/>
      <c r="L514" s="12"/>
    </row>
    <row r="515" ht="15.75" customHeight="1">
      <c r="A515" s="27"/>
      <c r="B515" s="27"/>
      <c r="C515" s="27"/>
      <c r="D515" s="27"/>
      <c r="E515" s="27"/>
      <c r="F515" s="27"/>
      <c r="G515" s="27"/>
      <c r="J515" s="12"/>
      <c r="K515" s="12"/>
      <c r="L515" s="12"/>
    </row>
    <row r="516" ht="15.75" customHeight="1">
      <c r="A516" s="27"/>
      <c r="B516" s="27"/>
      <c r="C516" s="27"/>
      <c r="D516" s="27"/>
      <c r="E516" s="27"/>
      <c r="F516" s="27"/>
      <c r="G516" s="27"/>
      <c r="J516" s="12"/>
      <c r="K516" s="12"/>
      <c r="L516" s="12"/>
    </row>
    <row r="517" ht="15.75" customHeight="1">
      <c r="A517" s="27"/>
      <c r="B517" s="27"/>
      <c r="C517" s="27"/>
      <c r="D517" s="27"/>
      <c r="E517" s="27"/>
      <c r="F517" s="27"/>
      <c r="G517" s="27"/>
      <c r="J517" s="12"/>
      <c r="K517" s="12"/>
      <c r="L517" s="12"/>
    </row>
    <row r="518" ht="15.75" customHeight="1">
      <c r="A518" s="27"/>
      <c r="B518" s="27"/>
      <c r="C518" s="27"/>
      <c r="D518" s="27"/>
      <c r="E518" s="27"/>
      <c r="F518" s="27"/>
      <c r="G518" s="27"/>
      <c r="J518" s="12"/>
      <c r="K518" s="12"/>
      <c r="L518" s="12"/>
    </row>
    <row r="519" ht="15.75" customHeight="1">
      <c r="A519" s="27"/>
      <c r="B519" s="27"/>
      <c r="C519" s="27"/>
      <c r="D519" s="27"/>
      <c r="E519" s="27"/>
      <c r="F519" s="27"/>
      <c r="G519" s="27"/>
      <c r="J519" s="12"/>
      <c r="K519" s="12"/>
      <c r="L519" s="12"/>
    </row>
    <row r="520" ht="15.75" customHeight="1">
      <c r="A520" s="27"/>
      <c r="B520" s="27"/>
      <c r="C520" s="27"/>
      <c r="D520" s="27"/>
      <c r="E520" s="27"/>
      <c r="F520" s="27"/>
      <c r="G520" s="27"/>
      <c r="J520" s="12"/>
      <c r="K520" s="12"/>
      <c r="L520" s="12"/>
    </row>
    <row r="521" ht="15.75" customHeight="1">
      <c r="A521" s="27"/>
      <c r="B521" s="27"/>
      <c r="C521" s="27"/>
      <c r="D521" s="27"/>
      <c r="E521" s="27"/>
      <c r="F521" s="27"/>
      <c r="G521" s="27"/>
      <c r="J521" s="12"/>
      <c r="K521" s="12"/>
      <c r="L521" s="12"/>
    </row>
    <row r="522" ht="15.75" customHeight="1">
      <c r="A522" s="27"/>
      <c r="B522" s="27"/>
      <c r="C522" s="27"/>
      <c r="D522" s="27"/>
      <c r="E522" s="27"/>
      <c r="F522" s="27"/>
      <c r="G522" s="27"/>
      <c r="J522" s="12"/>
      <c r="K522" s="12"/>
      <c r="L522" s="12"/>
    </row>
    <row r="523" ht="15.75" customHeight="1">
      <c r="A523" s="27"/>
      <c r="B523" s="27"/>
      <c r="C523" s="27"/>
      <c r="D523" s="27"/>
      <c r="E523" s="27"/>
      <c r="F523" s="27"/>
      <c r="G523" s="27"/>
      <c r="J523" s="12"/>
      <c r="K523" s="12"/>
      <c r="L523" s="12"/>
    </row>
    <row r="524" ht="15.75" customHeight="1">
      <c r="A524" s="27"/>
      <c r="B524" s="27"/>
      <c r="C524" s="27"/>
      <c r="D524" s="27"/>
      <c r="E524" s="27"/>
      <c r="F524" s="27"/>
      <c r="G524" s="27"/>
      <c r="J524" s="12"/>
      <c r="K524" s="12"/>
      <c r="L524" s="12"/>
    </row>
    <row r="525" ht="15.75" customHeight="1">
      <c r="A525" s="27"/>
      <c r="B525" s="27"/>
      <c r="C525" s="27"/>
      <c r="D525" s="27"/>
      <c r="E525" s="27"/>
      <c r="F525" s="27"/>
      <c r="G525" s="27"/>
      <c r="J525" s="12"/>
      <c r="K525" s="12"/>
      <c r="L525" s="12"/>
    </row>
    <row r="526" ht="15.75" customHeight="1">
      <c r="A526" s="27"/>
      <c r="B526" s="27"/>
      <c r="C526" s="27"/>
      <c r="D526" s="27"/>
      <c r="E526" s="27"/>
      <c r="F526" s="27"/>
      <c r="G526" s="27"/>
      <c r="J526" s="12"/>
      <c r="K526" s="12"/>
      <c r="L526" s="12"/>
    </row>
    <row r="527" ht="15.75" customHeight="1">
      <c r="A527" s="27"/>
      <c r="B527" s="27"/>
      <c r="C527" s="27"/>
      <c r="D527" s="27"/>
      <c r="E527" s="27"/>
      <c r="F527" s="27"/>
      <c r="G527" s="27"/>
      <c r="J527" s="12"/>
      <c r="K527" s="12"/>
      <c r="L527" s="12"/>
    </row>
    <row r="528" ht="15.75" customHeight="1">
      <c r="A528" s="27"/>
      <c r="B528" s="27"/>
      <c r="C528" s="27"/>
      <c r="D528" s="27"/>
      <c r="E528" s="27"/>
      <c r="F528" s="27"/>
      <c r="G528" s="27"/>
      <c r="J528" s="12"/>
      <c r="K528" s="12"/>
      <c r="L528" s="12"/>
    </row>
    <row r="529" ht="15.75" customHeight="1">
      <c r="A529" s="27"/>
      <c r="B529" s="27"/>
      <c r="C529" s="27"/>
      <c r="D529" s="27"/>
      <c r="E529" s="27"/>
      <c r="F529" s="27"/>
      <c r="G529" s="27"/>
      <c r="J529" s="12"/>
      <c r="K529" s="12"/>
      <c r="L529" s="12"/>
    </row>
    <row r="530" ht="15.75" customHeight="1">
      <c r="A530" s="27"/>
      <c r="B530" s="27"/>
      <c r="C530" s="27"/>
      <c r="D530" s="27"/>
      <c r="E530" s="27"/>
      <c r="F530" s="27"/>
      <c r="G530" s="27"/>
      <c r="J530" s="12"/>
      <c r="K530" s="12"/>
      <c r="L530" s="12"/>
    </row>
    <row r="531" ht="15.75" customHeight="1">
      <c r="A531" s="27"/>
      <c r="B531" s="27"/>
      <c r="C531" s="27"/>
      <c r="D531" s="27"/>
      <c r="E531" s="27"/>
      <c r="F531" s="27"/>
      <c r="G531" s="27"/>
      <c r="J531" s="12"/>
      <c r="K531" s="12"/>
      <c r="L531" s="12"/>
    </row>
    <row r="532" ht="15.75" customHeight="1">
      <c r="A532" s="27"/>
      <c r="B532" s="27"/>
      <c r="C532" s="27"/>
      <c r="D532" s="27"/>
      <c r="E532" s="27"/>
      <c r="F532" s="27"/>
      <c r="G532" s="27"/>
      <c r="J532" s="12"/>
      <c r="K532" s="12"/>
      <c r="L532" s="12"/>
    </row>
    <row r="533" ht="15.75" customHeight="1">
      <c r="A533" s="27"/>
      <c r="B533" s="27"/>
      <c r="C533" s="27"/>
      <c r="D533" s="27"/>
      <c r="E533" s="27"/>
      <c r="F533" s="27"/>
      <c r="G533" s="27"/>
      <c r="J533" s="12"/>
      <c r="K533" s="12"/>
      <c r="L533" s="12"/>
    </row>
    <row r="534" ht="15.75" customHeight="1">
      <c r="A534" s="27"/>
      <c r="B534" s="27"/>
      <c r="C534" s="27"/>
      <c r="D534" s="27"/>
      <c r="E534" s="27"/>
      <c r="F534" s="27"/>
      <c r="G534" s="27"/>
      <c r="J534" s="12"/>
      <c r="K534" s="12"/>
      <c r="L534" s="12"/>
    </row>
    <row r="535" ht="15.75" customHeight="1">
      <c r="A535" s="27"/>
      <c r="B535" s="27"/>
      <c r="C535" s="27"/>
      <c r="D535" s="27"/>
      <c r="E535" s="27"/>
      <c r="F535" s="27"/>
      <c r="G535" s="27"/>
      <c r="J535" s="12"/>
      <c r="K535" s="12"/>
      <c r="L535" s="12"/>
    </row>
    <row r="536" ht="15.75" customHeight="1">
      <c r="A536" s="27"/>
      <c r="B536" s="27"/>
      <c r="C536" s="27"/>
      <c r="D536" s="27"/>
      <c r="E536" s="27"/>
      <c r="F536" s="27"/>
      <c r="G536" s="27"/>
      <c r="J536" s="12"/>
      <c r="K536" s="12"/>
      <c r="L536" s="12"/>
    </row>
    <row r="537" ht="15.75" customHeight="1">
      <c r="A537" s="27"/>
      <c r="B537" s="27"/>
      <c r="C537" s="27"/>
      <c r="D537" s="27"/>
      <c r="E537" s="27"/>
      <c r="F537" s="27"/>
      <c r="G537" s="27"/>
      <c r="J537" s="12"/>
      <c r="K537" s="12"/>
      <c r="L537" s="12"/>
    </row>
    <row r="538" ht="15.75" customHeight="1">
      <c r="A538" s="27"/>
      <c r="B538" s="27"/>
      <c r="C538" s="27"/>
      <c r="D538" s="27"/>
      <c r="E538" s="27"/>
      <c r="F538" s="27"/>
      <c r="G538" s="27"/>
      <c r="J538" s="12"/>
      <c r="K538" s="12"/>
      <c r="L538" s="12"/>
    </row>
    <row r="539" ht="15.75" customHeight="1">
      <c r="A539" s="27"/>
      <c r="B539" s="27"/>
      <c r="C539" s="27"/>
      <c r="D539" s="27"/>
      <c r="E539" s="27"/>
      <c r="F539" s="27"/>
      <c r="G539" s="27"/>
      <c r="J539" s="12"/>
      <c r="K539" s="12"/>
      <c r="L539" s="12"/>
    </row>
    <row r="540" ht="15.75" customHeight="1">
      <c r="A540" s="27"/>
      <c r="B540" s="27"/>
      <c r="C540" s="27"/>
      <c r="D540" s="27"/>
      <c r="E540" s="27"/>
      <c r="F540" s="27"/>
      <c r="G540" s="27"/>
      <c r="J540" s="12"/>
      <c r="K540" s="12"/>
      <c r="L540" s="12"/>
    </row>
    <row r="541" ht="15.75" customHeight="1">
      <c r="A541" s="27"/>
      <c r="B541" s="27"/>
      <c r="C541" s="27"/>
      <c r="D541" s="27"/>
      <c r="E541" s="27"/>
      <c r="F541" s="27"/>
      <c r="G541" s="27"/>
      <c r="J541" s="12"/>
      <c r="K541" s="12"/>
      <c r="L541" s="12"/>
    </row>
    <row r="542" ht="15.75" customHeight="1">
      <c r="A542" s="27"/>
      <c r="B542" s="27"/>
      <c r="C542" s="27"/>
      <c r="D542" s="27"/>
      <c r="E542" s="27"/>
      <c r="F542" s="27"/>
      <c r="G542" s="27"/>
      <c r="J542" s="12"/>
      <c r="K542" s="12"/>
      <c r="L542" s="12"/>
    </row>
    <row r="543" ht="15.75" customHeight="1">
      <c r="A543" s="27"/>
      <c r="B543" s="27"/>
      <c r="C543" s="27"/>
      <c r="D543" s="27"/>
      <c r="E543" s="27"/>
      <c r="F543" s="27"/>
      <c r="G543" s="27"/>
      <c r="J543" s="12"/>
      <c r="K543" s="12"/>
      <c r="L543" s="12"/>
    </row>
    <row r="544" ht="15.75" customHeight="1">
      <c r="A544" s="27"/>
      <c r="B544" s="27"/>
      <c r="C544" s="27"/>
      <c r="D544" s="27"/>
      <c r="E544" s="27"/>
      <c r="F544" s="27"/>
      <c r="G544" s="27"/>
      <c r="J544" s="12"/>
      <c r="K544" s="12"/>
      <c r="L544" s="12"/>
    </row>
    <row r="545" ht="15.75" customHeight="1">
      <c r="A545" s="27"/>
      <c r="B545" s="27"/>
      <c r="C545" s="27"/>
      <c r="D545" s="27"/>
      <c r="E545" s="27"/>
      <c r="F545" s="27"/>
      <c r="G545" s="27"/>
      <c r="J545" s="12"/>
      <c r="K545" s="12"/>
      <c r="L545" s="12"/>
    </row>
    <row r="546" ht="15.75" customHeight="1">
      <c r="A546" s="27"/>
      <c r="B546" s="27"/>
      <c r="C546" s="27"/>
      <c r="D546" s="27"/>
      <c r="E546" s="27"/>
      <c r="F546" s="27"/>
      <c r="G546" s="27"/>
      <c r="J546" s="12"/>
      <c r="K546" s="12"/>
      <c r="L546" s="12"/>
    </row>
    <row r="547" ht="15.75" customHeight="1">
      <c r="A547" s="27"/>
      <c r="B547" s="27"/>
      <c r="C547" s="27"/>
      <c r="D547" s="27"/>
      <c r="E547" s="27"/>
      <c r="F547" s="27"/>
      <c r="G547" s="27"/>
      <c r="J547" s="12"/>
      <c r="K547" s="12"/>
      <c r="L547" s="12"/>
    </row>
    <row r="548" ht="15.75" customHeight="1">
      <c r="A548" s="27"/>
      <c r="B548" s="27"/>
      <c r="C548" s="27"/>
      <c r="D548" s="27"/>
      <c r="E548" s="27"/>
      <c r="F548" s="27"/>
      <c r="G548" s="27"/>
      <c r="J548" s="12"/>
      <c r="K548" s="12"/>
      <c r="L548" s="12"/>
    </row>
    <row r="549" ht="15.75" customHeight="1">
      <c r="A549" s="27"/>
      <c r="B549" s="27"/>
      <c r="C549" s="27"/>
      <c r="D549" s="27"/>
      <c r="E549" s="27"/>
      <c r="F549" s="27"/>
      <c r="G549" s="27"/>
      <c r="J549" s="12"/>
      <c r="K549" s="12"/>
      <c r="L549" s="12"/>
    </row>
    <row r="550" ht="15.75" customHeight="1">
      <c r="A550" s="27"/>
      <c r="B550" s="27"/>
      <c r="C550" s="27"/>
      <c r="D550" s="27"/>
      <c r="E550" s="27"/>
      <c r="F550" s="27"/>
      <c r="G550" s="27"/>
      <c r="J550" s="12"/>
      <c r="K550" s="12"/>
      <c r="L550" s="12"/>
    </row>
    <row r="551" ht="15.75" customHeight="1">
      <c r="A551" s="27"/>
      <c r="B551" s="27"/>
      <c r="C551" s="27"/>
      <c r="D551" s="27"/>
      <c r="E551" s="27"/>
      <c r="F551" s="27"/>
      <c r="G551" s="27"/>
      <c r="J551" s="12"/>
      <c r="K551" s="12"/>
      <c r="L551" s="12"/>
    </row>
    <row r="552" ht="15.75" customHeight="1">
      <c r="A552" s="27"/>
      <c r="B552" s="27"/>
      <c r="C552" s="27"/>
      <c r="D552" s="27"/>
      <c r="E552" s="27"/>
      <c r="F552" s="27"/>
      <c r="G552" s="27"/>
      <c r="J552" s="12"/>
      <c r="K552" s="12"/>
      <c r="L552" s="12"/>
    </row>
    <row r="553" ht="15.75" customHeight="1">
      <c r="A553" s="27"/>
      <c r="B553" s="27"/>
      <c r="C553" s="27"/>
      <c r="D553" s="27"/>
      <c r="E553" s="27"/>
      <c r="F553" s="27"/>
      <c r="G553" s="27"/>
      <c r="J553" s="12"/>
      <c r="K553" s="12"/>
      <c r="L553" s="12"/>
    </row>
    <row r="554" ht="15.75" customHeight="1">
      <c r="A554" s="27"/>
      <c r="B554" s="27"/>
      <c r="C554" s="27"/>
      <c r="D554" s="27"/>
      <c r="E554" s="27"/>
      <c r="F554" s="27"/>
      <c r="G554" s="27"/>
      <c r="J554" s="12"/>
      <c r="K554" s="12"/>
      <c r="L554" s="12"/>
    </row>
    <row r="555" ht="15.75" customHeight="1">
      <c r="A555" s="27"/>
      <c r="B555" s="27"/>
      <c r="C555" s="27"/>
      <c r="D555" s="27"/>
      <c r="E555" s="27"/>
      <c r="F555" s="27"/>
      <c r="G555" s="27"/>
      <c r="J555" s="12"/>
      <c r="K555" s="12"/>
      <c r="L555" s="12"/>
    </row>
    <row r="556" ht="15.75" customHeight="1">
      <c r="A556" s="27"/>
      <c r="B556" s="27"/>
      <c r="C556" s="27"/>
      <c r="D556" s="27"/>
      <c r="E556" s="27"/>
      <c r="F556" s="27"/>
      <c r="G556" s="27"/>
      <c r="J556" s="12"/>
      <c r="K556" s="12"/>
      <c r="L556" s="12"/>
    </row>
    <row r="557" ht="15.75" customHeight="1">
      <c r="A557" s="27"/>
      <c r="B557" s="27"/>
      <c r="C557" s="27"/>
      <c r="D557" s="27"/>
      <c r="E557" s="27"/>
      <c r="F557" s="27"/>
      <c r="G557" s="27"/>
      <c r="J557" s="12"/>
      <c r="K557" s="12"/>
      <c r="L557" s="12"/>
    </row>
    <row r="558" ht="15.75" customHeight="1">
      <c r="A558" s="27"/>
      <c r="B558" s="27"/>
      <c r="C558" s="27"/>
      <c r="D558" s="27"/>
      <c r="E558" s="27"/>
      <c r="F558" s="27"/>
      <c r="G558" s="27"/>
      <c r="J558" s="12"/>
      <c r="K558" s="12"/>
      <c r="L558" s="12"/>
    </row>
    <row r="559" ht="15.75" customHeight="1">
      <c r="A559" s="27"/>
      <c r="B559" s="27"/>
      <c r="C559" s="27"/>
      <c r="D559" s="27"/>
      <c r="E559" s="27"/>
      <c r="F559" s="27"/>
      <c r="G559" s="27"/>
      <c r="J559" s="12"/>
      <c r="K559" s="12"/>
      <c r="L559" s="12"/>
    </row>
    <row r="560" ht="15.75" customHeight="1">
      <c r="A560" s="27"/>
      <c r="B560" s="27"/>
      <c r="C560" s="27"/>
      <c r="D560" s="27"/>
      <c r="E560" s="27"/>
      <c r="F560" s="27"/>
      <c r="G560" s="27"/>
      <c r="J560" s="12"/>
      <c r="K560" s="12"/>
      <c r="L560" s="12"/>
    </row>
    <row r="561" ht="15.75" customHeight="1">
      <c r="A561" s="27"/>
      <c r="B561" s="27"/>
      <c r="C561" s="27"/>
      <c r="D561" s="27"/>
      <c r="E561" s="27"/>
      <c r="F561" s="27"/>
      <c r="G561" s="27"/>
      <c r="J561" s="12"/>
      <c r="K561" s="12"/>
      <c r="L561" s="12"/>
    </row>
    <row r="562" ht="15.75" customHeight="1">
      <c r="A562" s="27"/>
      <c r="B562" s="27"/>
      <c r="C562" s="27"/>
      <c r="D562" s="27"/>
      <c r="E562" s="27"/>
      <c r="F562" s="27"/>
      <c r="G562" s="27"/>
      <c r="J562" s="12"/>
      <c r="K562" s="12"/>
      <c r="L562" s="12"/>
    </row>
    <row r="563" ht="15.75" customHeight="1">
      <c r="A563" s="27"/>
      <c r="B563" s="27"/>
      <c r="C563" s="27"/>
      <c r="D563" s="27"/>
      <c r="E563" s="27"/>
      <c r="F563" s="27"/>
      <c r="G563" s="27"/>
      <c r="J563" s="12"/>
      <c r="K563" s="12"/>
      <c r="L563" s="12"/>
    </row>
    <row r="564" ht="15.75" customHeight="1">
      <c r="A564" s="27"/>
      <c r="B564" s="27"/>
      <c r="C564" s="27"/>
      <c r="D564" s="27"/>
      <c r="E564" s="27"/>
      <c r="F564" s="27"/>
      <c r="G564" s="27"/>
      <c r="J564" s="12"/>
      <c r="K564" s="12"/>
      <c r="L564" s="12"/>
    </row>
    <row r="565" ht="15.75" customHeight="1">
      <c r="A565" s="27"/>
      <c r="B565" s="27"/>
      <c r="C565" s="27"/>
      <c r="D565" s="27"/>
      <c r="E565" s="27"/>
      <c r="F565" s="27"/>
      <c r="G565" s="27"/>
      <c r="J565" s="12"/>
      <c r="K565" s="12"/>
      <c r="L565" s="12"/>
    </row>
    <row r="566" ht="15.75" customHeight="1">
      <c r="A566" s="27"/>
      <c r="B566" s="27"/>
      <c r="C566" s="27"/>
      <c r="D566" s="27"/>
      <c r="E566" s="27"/>
      <c r="F566" s="27"/>
      <c r="G566" s="27"/>
      <c r="J566" s="12"/>
      <c r="K566" s="12"/>
      <c r="L566" s="12"/>
    </row>
    <row r="567" ht="15.75" customHeight="1">
      <c r="A567" s="27"/>
      <c r="B567" s="27"/>
      <c r="C567" s="27"/>
      <c r="D567" s="27"/>
      <c r="E567" s="27"/>
      <c r="F567" s="27"/>
      <c r="G567" s="27"/>
      <c r="J567" s="12"/>
      <c r="K567" s="12"/>
      <c r="L567" s="12"/>
    </row>
    <row r="568" ht="15.75" customHeight="1">
      <c r="A568" s="27"/>
      <c r="B568" s="27"/>
      <c r="C568" s="27"/>
      <c r="D568" s="27"/>
      <c r="E568" s="27"/>
      <c r="F568" s="27"/>
      <c r="G568" s="27"/>
      <c r="J568" s="12"/>
      <c r="K568" s="12"/>
      <c r="L568" s="12"/>
    </row>
    <row r="569" ht="15.75" customHeight="1">
      <c r="A569" s="27"/>
      <c r="B569" s="27"/>
      <c r="C569" s="27"/>
      <c r="D569" s="27"/>
      <c r="E569" s="27"/>
      <c r="F569" s="27"/>
      <c r="G569" s="27"/>
      <c r="J569" s="12"/>
      <c r="K569" s="12"/>
      <c r="L569" s="12"/>
    </row>
    <row r="570" ht="15.75" customHeight="1">
      <c r="A570" s="27"/>
      <c r="B570" s="27"/>
      <c r="C570" s="27"/>
      <c r="D570" s="27"/>
      <c r="E570" s="27"/>
      <c r="F570" s="27"/>
      <c r="G570" s="27"/>
      <c r="J570" s="12"/>
      <c r="K570" s="12"/>
      <c r="L570" s="12"/>
    </row>
    <row r="571" ht="15.75" customHeight="1">
      <c r="A571" s="27"/>
      <c r="B571" s="27"/>
      <c r="C571" s="27"/>
      <c r="D571" s="27"/>
      <c r="E571" s="27"/>
      <c r="F571" s="27"/>
      <c r="G571" s="27"/>
      <c r="J571" s="12"/>
      <c r="K571" s="12"/>
      <c r="L571" s="12"/>
    </row>
    <row r="572" ht="15.75" customHeight="1">
      <c r="A572" s="27"/>
      <c r="B572" s="27"/>
      <c r="C572" s="27"/>
      <c r="D572" s="27"/>
      <c r="E572" s="27"/>
      <c r="F572" s="27"/>
      <c r="G572" s="27"/>
      <c r="J572" s="12"/>
      <c r="K572" s="12"/>
      <c r="L572" s="12"/>
    </row>
    <row r="573" ht="15.75" customHeight="1">
      <c r="A573" s="27"/>
      <c r="B573" s="27"/>
      <c r="C573" s="27"/>
      <c r="D573" s="27"/>
      <c r="E573" s="27"/>
      <c r="F573" s="27"/>
      <c r="G573" s="27"/>
      <c r="J573" s="12"/>
      <c r="K573" s="12"/>
      <c r="L573" s="12"/>
    </row>
    <row r="574" ht="15.75" customHeight="1">
      <c r="A574" s="27"/>
      <c r="B574" s="27"/>
      <c r="C574" s="27"/>
      <c r="D574" s="27"/>
      <c r="E574" s="27"/>
      <c r="F574" s="27"/>
      <c r="G574" s="27"/>
      <c r="J574" s="12"/>
      <c r="K574" s="12"/>
      <c r="L574" s="12"/>
    </row>
    <row r="575" ht="15.75" customHeight="1">
      <c r="A575" s="27"/>
      <c r="B575" s="27"/>
      <c r="C575" s="27"/>
      <c r="D575" s="27"/>
      <c r="E575" s="27"/>
      <c r="F575" s="27"/>
      <c r="G575" s="27"/>
      <c r="J575" s="12"/>
      <c r="K575" s="12"/>
      <c r="L575" s="12"/>
    </row>
    <row r="576" ht="15.75" customHeight="1">
      <c r="A576" s="27"/>
      <c r="B576" s="27"/>
      <c r="C576" s="27"/>
      <c r="D576" s="27"/>
      <c r="E576" s="27"/>
      <c r="F576" s="27"/>
      <c r="G576" s="27"/>
      <c r="J576" s="12"/>
      <c r="K576" s="12"/>
      <c r="L576" s="12"/>
    </row>
    <row r="577" ht="15.75" customHeight="1">
      <c r="A577" s="27"/>
      <c r="B577" s="27"/>
      <c r="C577" s="27"/>
      <c r="D577" s="27"/>
      <c r="E577" s="27"/>
      <c r="F577" s="27"/>
      <c r="G577" s="27"/>
      <c r="J577" s="12"/>
      <c r="K577" s="12"/>
      <c r="L577" s="12"/>
    </row>
    <row r="578" ht="15.75" customHeight="1">
      <c r="A578" s="27"/>
      <c r="B578" s="27"/>
      <c r="C578" s="27"/>
      <c r="D578" s="27"/>
      <c r="E578" s="27"/>
      <c r="F578" s="27"/>
      <c r="G578" s="27"/>
      <c r="J578" s="12"/>
      <c r="K578" s="12"/>
      <c r="L578" s="12"/>
    </row>
    <row r="579" ht="15.75" customHeight="1">
      <c r="A579" s="27"/>
      <c r="B579" s="27"/>
      <c r="C579" s="27"/>
      <c r="D579" s="27"/>
      <c r="E579" s="27"/>
      <c r="F579" s="27"/>
      <c r="G579" s="27"/>
      <c r="J579" s="12"/>
      <c r="K579" s="12"/>
      <c r="L579" s="12"/>
    </row>
    <row r="580" ht="15.75" customHeight="1">
      <c r="A580" s="27"/>
      <c r="B580" s="27"/>
      <c r="C580" s="27"/>
      <c r="D580" s="27"/>
      <c r="E580" s="27"/>
      <c r="F580" s="27"/>
      <c r="G580" s="27"/>
      <c r="J580" s="12"/>
      <c r="K580" s="12"/>
      <c r="L580" s="12"/>
    </row>
    <row r="581" ht="15.75" customHeight="1">
      <c r="A581" s="27"/>
      <c r="B581" s="27"/>
      <c r="C581" s="27"/>
      <c r="D581" s="27"/>
      <c r="E581" s="27"/>
      <c r="F581" s="27"/>
      <c r="G581" s="27"/>
      <c r="J581" s="12"/>
      <c r="K581" s="12"/>
      <c r="L581" s="12"/>
    </row>
    <row r="582" ht="15.75" customHeight="1">
      <c r="A582" s="27"/>
      <c r="B582" s="27"/>
      <c r="C582" s="27"/>
      <c r="D582" s="27"/>
      <c r="E582" s="27"/>
      <c r="F582" s="27"/>
      <c r="G582" s="27"/>
      <c r="J582" s="12"/>
      <c r="K582" s="12"/>
      <c r="L582" s="12"/>
    </row>
    <row r="583" ht="15.75" customHeight="1">
      <c r="A583" s="27"/>
      <c r="B583" s="27"/>
      <c r="C583" s="27"/>
      <c r="D583" s="27"/>
      <c r="E583" s="27"/>
      <c r="F583" s="27"/>
      <c r="G583" s="27"/>
      <c r="J583" s="12"/>
      <c r="K583" s="12"/>
      <c r="L583" s="12"/>
    </row>
    <row r="584" ht="15.75" customHeight="1">
      <c r="A584" s="27"/>
      <c r="B584" s="27"/>
      <c r="C584" s="27"/>
      <c r="D584" s="27"/>
      <c r="E584" s="27"/>
      <c r="F584" s="27"/>
      <c r="G584" s="27"/>
      <c r="J584" s="12"/>
      <c r="K584" s="12"/>
      <c r="L584" s="12"/>
    </row>
    <row r="585" ht="15.75" customHeight="1">
      <c r="A585" s="27"/>
      <c r="B585" s="27"/>
      <c r="C585" s="27"/>
      <c r="D585" s="27"/>
      <c r="E585" s="27"/>
      <c r="F585" s="27"/>
      <c r="G585" s="27"/>
      <c r="J585" s="12"/>
      <c r="K585" s="12"/>
      <c r="L585" s="12"/>
    </row>
    <row r="586" ht="15.75" customHeight="1">
      <c r="A586" s="27"/>
      <c r="B586" s="27"/>
      <c r="C586" s="27"/>
      <c r="D586" s="27"/>
      <c r="E586" s="27"/>
      <c r="F586" s="27"/>
      <c r="G586" s="27"/>
      <c r="J586" s="12"/>
      <c r="K586" s="12"/>
      <c r="L586" s="12"/>
    </row>
    <row r="587" ht="15.75" customHeight="1">
      <c r="A587" s="27"/>
      <c r="B587" s="27"/>
      <c r="C587" s="27"/>
      <c r="D587" s="27"/>
      <c r="E587" s="27"/>
      <c r="F587" s="27"/>
      <c r="G587" s="27"/>
      <c r="J587" s="12"/>
      <c r="K587" s="12"/>
      <c r="L587" s="12"/>
    </row>
    <row r="588" ht="15.75" customHeight="1">
      <c r="A588" s="27"/>
      <c r="B588" s="27"/>
      <c r="C588" s="27"/>
      <c r="D588" s="27"/>
      <c r="E588" s="27"/>
      <c r="F588" s="27"/>
      <c r="G588" s="27"/>
      <c r="J588" s="12"/>
      <c r="K588" s="12"/>
      <c r="L588" s="12"/>
    </row>
    <row r="589" ht="15.75" customHeight="1">
      <c r="A589" s="27"/>
      <c r="B589" s="27"/>
      <c r="C589" s="27"/>
      <c r="D589" s="27"/>
      <c r="E589" s="27"/>
      <c r="F589" s="27"/>
      <c r="G589" s="27"/>
      <c r="J589" s="12"/>
      <c r="K589" s="12"/>
      <c r="L589" s="12"/>
    </row>
    <row r="590" ht="15.75" customHeight="1">
      <c r="A590" s="27"/>
      <c r="B590" s="27"/>
      <c r="C590" s="27"/>
      <c r="D590" s="27"/>
      <c r="E590" s="27"/>
      <c r="F590" s="27"/>
      <c r="G590" s="27"/>
      <c r="J590" s="12"/>
      <c r="K590" s="12"/>
      <c r="L590" s="12"/>
    </row>
    <row r="591" ht="15.75" customHeight="1">
      <c r="A591" s="27"/>
      <c r="B591" s="27"/>
      <c r="C591" s="27"/>
      <c r="D591" s="27"/>
      <c r="E591" s="27"/>
      <c r="F591" s="27"/>
      <c r="G591" s="27"/>
      <c r="J591" s="12"/>
      <c r="K591" s="12"/>
      <c r="L591" s="12"/>
    </row>
    <row r="592" ht="15.75" customHeight="1">
      <c r="A592" s="27"/>
      <c r="B592" s="27"/>
      <c r="C592" s="27"/>
      <c r="D592" s="27"/>
      <c r="E592" s="27"/>
      <c r="F592" s="27"/>
      <c r="G592" s="27"/>
      <c r="J592" s="12"/>
      <c r="K592" s="12"/>
      <c r="L592" s="12"/>
    </row>
    <row r="593" ht="15.75" customHeight="1">
      <c r="A593" s="27"/>
      <c r="B593" s="27"/>
      <c r="C593" s="27"/>
      <c r="D593" s="27"/>
      <c r="E593" s="27"/>
      <c r="F593" s="27"/>
      <c r="G593" s="27"/>
      <c r="J593" s="12"/>
      <c r="K593" s="12"/>
      <c r="L593" s="12"/>
    </row>
    <row r="594" ht="15.75" customHeight="1">
      <c r="A594" s="27"/>
      <c r="B594" s="27"/>
      <c r="C594" s="27"/>
      <c r="D594" s="27"/>
      <c r="E594" s="27"/>
      <c r="F594" s="27"/>
      <c r="G594" s="27"/>
      <c r="J594" s="12"/>
      <c r="K594" s="12"/>
      <c r="L594" s="12"/>
    </row>
    <row r="595" ht="15.75" customHeight="1">
      <c r="A595" s="27"/>
      <c r="B595" s="27"/>
      <c r="C595" s="27"/>
      <c r="D595" s="27"/>
      <c r="E595" s="27"/>
      <c r="F595" s="27"/>
      <c r="G595" s="27"/>
      <c r="J595" s="12"/>
      <c r="K595" s="12"/>
      <c r="L595" s="12"/>
    </row>
    <row r="596" ht="15.75" customHeight="1">
      <c r="A596" s="27"/>
      <c r="B596" s="27"/>
      <c r="C596" s="27"/>
      <c r="D596" s="27"/>
      <c r="E596" s="27"/>
      <c r="F596" s="27"/>
      <c r="G596" s="27"/>
      <c r="J596" s="12"/>
      <c r="K596" s="12"/>
      <c r="L596" s="12"/>
    </row>
    <row r="597" ht="15.75" customHeight="1">
      <c r="A597" s="27"/>
      <c r="B597" s="27"/>
      <c r="C597" s="27"/>
      <c r="D597" s="27"/>
      <c r="E597" s="27"/>
      <c r="F597" s="27"/>
      <c r="G597" s="27"/>
      <c r="J597" s="12"/>
      <c r="K597" s="12"/>
      <c r="L597" s="12"/>
    </row>
    <row r="598" ht="15.75" customHeight="1">
      <c r="A598" s="27"/>
      <c r="B598" s="27"/>
      <c r="C598" s="27"/>
      <c r="D598" s="27"/>
      <c r="E598" s="27"/>
      <c r="F598" s="27"/>
      <c r="G598" s="27"/>
      <c r="J598" s="12"/>
      <c r="K598" s="12"/>
      <c r="L598" s="12"/>
    </row>
    <row r="599" ht="15.75" customHeight="1">
      <c r="A599" s="27"/>
      <c r="B599" s="27"/>
      <c r="C599" s="27"/>
      <c r="D599" s="27"/>
      <c r="E599" s="27"/>
      <c r="F599" s="27"/>
      <c r="G599" s="27"/>
      <c r="J599" s="12"/>
      <c r="K599" s="12"/>
      <c r="L599" s="12"/>
    </row>
    <row r="600" ht="15.75" customHeight="1">
      <c r="A600" s="27"/>
      <c r="B600" s="27"/>
      <c r="C600" s="27"/>
      <c r="D600" s="27"/>
      <c r="E600" s="27"/>
      <c r="F600" s="27"/>
      <c r="G600" s="27"/>
      <c r="J600" s="12"/>
      <c r="K600" s="12"/>
      <c r="L600" s="12"/>
    </row>
    <row r="601" ht="15.75" customHeight="1">
      <c r="A601" s="27"/>
      <c r="B601" s="27"/>
      <c r="C601" s="27"/>
      <c r="D601" s="27"/>
      <c r="E601" s="27"/>
      <c r="F601" s="27"/>
      <c r="G601" s="27"/>
      <c r="J601" s="12"/>
      <c r="K601" s="12"/>
      <c r="L601" s="12"/>
    </row>
    <row r="602" ht="15.75" customHeight="1">
      <c r="A602" s="27"/>
      <c r="B602" s="27"/>
      <c r="C602" s="27"/>
      <c r="D602" s="27"/>
      <c r="E602" s="27"/>
      <c r="F602" s="27"/>
      <c r="G602" s="27"/>
      <c r="J602" s="12"/>
      <c r="K602" s="12"/>
      <c r="L602" s="12"/>
    </row>
    <row r="603" ht="15.75" customHeight="1">
      <c r="A603" s="27"/>
      <c r="B603" s="27"/>
      <c r="C603" s="27"/>
      <c r="D603" s="27"/>
      <c r="E603" s="27"/>
      <c r="F603" s="27"/>
      <c r="G603" s="27"/>
      <c r="J603" s="12"/>
      <c r="K603" s="12"/>
      <c r="L603" s="12"/>
    </row>
    <row r="604" ht="15.75" customHeight="1">
      <c r="A604" s="27"/>
      <c r="B604" s="27"/>
      <c r="C604" s="27"/>
      <c r="D604" s="27"/>
      <c r="E604" s="27"/>
      <c r="F604" s="27"/>
      <c r="G604" s="27"/>
      <c r="J604" s="12"/>
      <c r="K604" s="12"/>
      <c r="L604" s="12"/>
    </row>
    <row r="605" ht="15.75" customHeight="1">
      <c r="A605" s="27"/>
      <c r="B605" s="27"/>
      <c r="C605" s="27"/>
      <c r="D605" s="27"/>
      <c r="E605" s="27"/>
      <c r="F605" s="27"/>
      <c r="G605" s="27"/>
      <c r="J605" s="12"/>
      <c r="K605" s="12"/>
      <c r="L605" s="12"/>
    </row>
    <row r="606" ht="15.75" customHeight="1">
      <c r="A606" s="27"/>
      <c r="B606" s="27"/>
      <c r="C606" s="27"/>
      <c r="D606" s="27"/>
      <c r="E606" s="27"/>
      <c r="F606" s="27"/>
      <c r="G606" s="27"/>
      <c r="J606" s="12"/>
      <c r="K606" s="12"/>
      <c r="L606" s="12"/>
    </row>
    <row r="607" ht="15.75" customHeight="1">
      <c r="A607" s="27"/>
      <c r="B607" s="27"/>
      <c r="C607" s="27"/>
      <c r="D607" s="27"/>
      <c r="E607" s="27"/>
      <c r="F607" s="27"/>
      <c r="G607" s="27"/>
      <c r="J607" s="12"/>
      <c r="K607" s="12"/>
      <c r="L607" s="12"/>
    </row>
    <row r="608" ht="15.75" customHeight="1">
      <c r="A608" s="27"/>
      <c r="B608" s="27"/>
      <c r="C608" s="27"/>
      <c r="D608" s="27"/>
      <c r="E608" s="27"/>
      <c r="F608" s="27"/>
      <c r="G608" s="27"/>
      <c r="J608" s="12"/>
      <c r="K608" s="12"/>
      <c r="L608" s="12"/>
    </row>
    <row r="609" ht="15.75" customHeight="1">
      <c r="A609" s="27"/>
      <c r="B609" s="27"/>
      <c r="C609" s="27"/>
      <c r="D609" s="27"/>
      <c r="E609" s="27"/>
      <c r="F609" s="27"/>
      <c r="G609" s="27"/>
      <c r="J609" s="12"/>
      <c r="K609" s="12"/>
      <c r="L609" s="12"/>
    </row>
    <row r="610" ht="15.75" customHeight="1">
      <c r="A610" s="27"/>
      <c r="B610" s="27"/>
      <c r="C610" s="27"/>
      <c r="D610" s="27"/>
      <c r="E610" s="27"/>
      <c r="F610" s="27"/>
      <c r="G610" s="27"/>
      <c r="J610" s="12"/>
      <c r="K610" s="12"/>
      <c r="L610" s="12"/>
    </row>
    <row r="611" ht="15.75" customHeight="1">
      <c r="A611" s="27"/>
      <c r="B611" s="27"/>
      <c r="C611" s="27"/>
      <c r="D611" s="27"/>
      <c r="E611" s="27"/>
      <c r="F611" s="27"/>
      <c r="G611" s="27"/>
      <c r="J611" s="12"/>
      <c r="K611" s="12"/>
      <c r="L611" s="12"/>
    </row>
    <row r="612" ht="15.75" customHeight="1">
      <c r="A612" s="27"/>
      <c r="B612" s="27"/>
      <c r="C612" s="27"/>
      <c r="D612" s="27"/>
      <c r="E612" s="27"/>
      <c r="F612" s="27"/>
      <c r="G612" s="27"/>
      <c r="J612" s="12"/>
      <c r="K612" s="12"/>
      <c r="L612" s="12"/>
    </row>
    <row r="613" ht="15.75" customHeight="1">
      <c r="A613" s="27"/>
      <c r="B613" s="27"/>
      <c r="C613" s="27"/>
      <c r="D613" s="27"/>
      <c r="E613" s="27"/>
      <c r="F613" s="27"/>
      <c r="G613" s="27"/>
      <c r="J613" s="12"/>
      <c r="K613" s="12"/>
      <c r="L613" s="12"/>
    </row>
    <row r="614" ht="15.75" customHeight="1">
      <c r="A614" s="27"/>
      <c r="B614" s="27"/>
      <c r="C614" s="27"/>
      <c r="D614" s="27"/>
      <c r="E614" s="27"/>
      <c r="F614" s="27"/>
      <c r="G614" s="27"/>
      <c r="J614" s="12"/>
      <c r="K614" s="12"/>
      <c r="L614" s="12"/>
    </row>
    <row r="615" ht="15.75" customHeight="1">
      <c r="A615" s="27"/>
      <c r="B615" s="27"/>
      <c r="C615" s="27"/>
      <c r="D615" s="27"/>
      <c r="E615" s="27"/>
      <c r="F615" s="27"/>
      <c r="G615" s="27"/>
      <c r="J615" s="12"/>
      <c r="K615" s="12"/>
      <c r="L615" s="12"/>
    </row>
    <row r="616" ht="15.75" customHeight="1">
      <c r="A616" s="27"/>
      <c r="B616" s="27"/>
      <c r="C616" s="27"/>
      <c r="D616" s="27"/>
      <c r="E616" s="27"/>
      <c r="F616" s="27"/>
      <c r="G616" s="27"/>
      <c r="J616" s="12"/>
      <c r="K616" s="12"/>
      <c r="L616" s="12"/>
    </row>
    <row r="617" ht="15.75" customHeight="1">
      <c r="A617" s="27"/>
      <c r="B617" s="27"/>
      <c r="C617" s="27"/>
      <c r="D617" s="27"/>
      <c r="E617" s="27"/>
      <c r="F617" s="27"/>
      <c r="G617" s="27"/>
      <c r="J617" s="12"/>
      <c r="K617" s="12"/>
      <c r="L617" s="12"/>
    </row>
    <row r="618" ht="15.75" customHeight="1">
      <c r="A618" s="27"/>
      <c r="B618" s="27"/>
      <c r="C618" s="27"/>
      <c r="D618" s="27"/>
      <c r="E618" s="27"/>
      <c r="F618" s="27"/>
      <c r="G618" s="27"/>
      <c r="J618" s="12"/>
      <c r="K618" s="12"/>
      <c r="L618" s="12"/>
    </row>
    <row r="619" ht="15.75" customHeight="1">
      <c r="A619" s="27"/>
      <c r="B619" s="27"/>
      <c r="C619" s="27"/>
      <c r="D619" s="27"/>
      <c r="E619" s="27"/>
      <c r="F619" s="27"/>
      <c r="G619" s="27"/>
      <c r="J619" s="12"/>
      <c r="K619" s="12"/>
      <c r="L619" s="12"/>
    </row>
    <row r="620" ht="15.75" customHeight="1">
      <c r="A620" s="27"/>
      <c r="B620" s="27"/>
      <c r="C620" s="27"/>
      <c r="D620" s="27"/>
      <c r="E620" s="27"/>
      <c r="F620" s="27"/>
      <c r="G620" s="27"/>
      <c r="J620" s="12"/>
      <c r="K620" s="12"/>
      <c r="L620" s="12"/>
    </row>
    <row r="621" ht="15.75" customHeight="1">
      <c r="A621" s="27"/>
      <c r="B621" s="27"/>
      <c r="C621" s="27"/>
      <c r="D621" s="27"/>
      <c r="E621" s="27"/>
      <c r="F621" s="27"/>
      <c r="G621" s="27"/>
      <c r="J621" s="12"/>
      <c r="K621" s="12"/>
      <c r="L621" s="12"/>
    </row>
    <row r="622" ht="15.75" customHeight="1">
      <c r="A622" s="27"/>
      <c r="B622" s="27"/>
      <c r="C622" s="27"/>
      <c r="D622" s="27"/>
      <c r="E622" s="27"/>
      <c r="F622" s="27"/>
      <c r="G622" s="27"/>
      <c r="J622" s="12"/>
      <c r="K622" s="12"/>
      <c r="L622" s="12"/>
    </row>
    <row r="623" ht="15.75" customHeight="1">
      <c r="A623" s="27"/>
      <c r="B623" s="27"/>
      <c r="C623" s="27"/>
      <c r="D623" s="27"/>
      <c r="E623" s="27"/>
      <c r="F623" s="27"/>
      <c r="G623" s="27"/>
      <c r="J623" s="12"/>
      <c r="K623" s="12"/>
      <c r="L623" s="12"/>
    </row>
    <row r="624" ht="15.75" customHeight="1">
      <c r="A624" s="27"/>
      <c r="B624" s="27"/>
      <c r="C624" s="27"/>
      <c r="D624" s="27"/>
      <c r="E624" s="27"/>
      <c r="F624" s="27"/>
      <c r="G624" s="27"/>
      <c r="J624" s="12"/>
      <c r="K624" s="12"/>
      <c r="L624" s="12"/>
    </row>
    <row r="625" ht="15.75" customHeight="1">
      <c r="A625" s="27"/>
      <c r="B625" s="27"/>
      <c r="C625" s="27"/>
      <c r="D625" s="27"/>
      <c r="E625" s="27"/>
      <c r="F625" s="27"/>
      <c r="G625" s="27"/>
      <c r="J625" s="12"/>
      <c r="K625" s="12"/>
      <c r="L625" s="12"/>
    </row>
    <row r="626" ht="15.75" customHeight="1">
      <c r="A626" s="27"/>
      <c r="B626" s="27"/>
      <c r="C626" s="27"/>
      <c r="D626" s="27"/>
      <c r="E626" s="27"/>
      <c r="F626" s="27"/>
      <c r="G626" s="27"/>
      <c r="J626" s="12"/>
      <c r="K626" s="12"/>
      <c r="L626" s="12"/>
    </row>
    <row r="627" ht="15.75" customHeight="1">
      <c r="A627" s="27"/>
      <c r="B627" s="27"/>
      <c r="C627" s="27"/>
      <c r="D627" s="27"/>
      <c r="E627" s="27"/>
      <c r="F627" s="27"/>
      <c r="G627" s="27"/>
      <c r="J627" s="12"/>
      <c r="K627" s="12"/>
      <c r="L627" s="12"/>
    </row>
    <row r="628" ht="15.75" customHeight="1">
      <c r="A628" s="27"/>
      <c r="B628" s="27"/>
      <c r="C628" s="27"/>
      <c r="D628" s="27"/>
      <c r="E628" s="27"/>
      <c r="F628" s="27"/>
      <c r="G628" s="27"/>
      <c r="J628" s="12"/>
      <c r="K628" s="12"/>
      <c r="L628" s="12"/>
    </row>
    <row r="629" ht="15.75" customHeight="1">
      <c r="A629" s="27"/>
      <c r="B629" s="27"/>
      <c r="C629" s="27"/>
      <c r="D629" s="27"/>
      <c r="E629" s="27"/>
      <c r="F629" s="27"/>
      <c r="G629" s="27"/>
      <c r="J629" s="12"/>
      <c r="K629" s="12"/>
      <c r="L629" s="12"/>
    </row>
    <row r="630" ht="15.75" customHeight="1">
      <c r="A630" s="27"/>
      <c r="B630" s="27"/>
      <c r="C630" s="27"/>
      <c r="D630" s="27"/>
      <c r="E630" s="27"/>
      <c r="F630" s="27"/>
      <c r="G630" s="27"/>
      <c r="J630" s="12"/>
      <c r="K630" s="12"/>
      <c r="L630" s="12"/>
    </row>
    <row r="631" ht="15.75" customHeight="1">
      <c r="A631" s="27"/>
      <c r="B631" s="27"/>
      <c r="C631" s="27"/>
      <c r="D631" s="27"/>
      <c r="E631" s="27"/>
      <c r="F631" s="27"/>
      <c r="G631" s="27"/>
      <c r="J631" s="12"/>
      <c r="K631" s="12"/>
      <c r="L631" s="12"/>
    </row>
    <row r="632" ht="15.75" customHeight="1">
      <c r="A632" s="27"/>
      <c r="B632" s="27"/>
      <c r="C632" s="27"/>
      <c r="D632" s="27"/>
      <c r="E632" s="27"/>
      <c r="F632" s="27"/>
      <c r="G632" s="27"/>
      <c r="J632" s="12"/>
      <c r="K632" s="12"/>
      <c r="L632" s="12"/>
    </row>
    <row r="633" ht="15.75" customHeight="1">
      <c r="A633" s="27"/>
      <c r="B633" s="27"/>
      <c r="C633" s="27"/>
      <c r="D633" s="27"/>
      <c r="E633" s="27"/>
      <c r="F633" s="27"/>
      <c r="G633" s="27"/>
      <c r="J633" s="12"/>
      <c r="K633" s="12"/>
      <c r="L633" s="12"/>
    </row>
    <row r="634" ht="15.75" customHeight="1">
      <c r="A634" s="27"/>
      <c r="B634" s="27"/>
      <c r="C634" s="27"/>
      <c r="D634" s="27"/>
      <c r="E634" s="27"/>
      <c r="F634" s="27"/>
      <c r="G634" s="27"/>
      <c r="J634" s="12"/>
      <c r="K634" s="12"/>
      <c r="L634" s="12"/>
    </row>
    <row r="635" ht="15.75" customHeight="1">
      <c r="A635" s="27"/>
      <c r="B635" s="27"/>
      <c r="C635" s="27"/>
      <c r="D635" s="27"/>
      <c r="E635" s="27"/>
      <c r="F635" s="27"/>
      <c r="G635" s="27"/>
      <c r="J635" s="12"/>
      <c r="K635" s="12"/>
      <c r="L635" s="12"/>
    </row>
    <row r="636" ht="15.75" customHeight="1">
      <c r="A636" s="27"/>
      <c r="B636" s="27"/>
      <c r="C636" s="27"/>
      <c r="D636" s="27"/>
      <c r="E636" s="27"/>
      <c r="F636" s="27"/>
      <c r="G636" s="27"/>
      <c r="J636" s="12"/>
      <c r="K636" s="12"/>
      <c r="L636" s="12"/>
    </row>
    <row r="637" ht="15.75" customHeight="1">
      <c r="A637" s="27"/>
      <c r="B637" s="27"/>
      <c r="C637" s="27"/>
      <c r="D637" s="27"/>
      <c r="E637" s="27"/>
      <c r="F637" s="27"/>
      <c r="G637" s="27"/>
      <c r="J637" s="12"/>
      <c r="K637" s="12"/>
      <c r="L637" s="12"/>
    </row>
    <row r="638" ht="15.75" customHeight="1">
      <c r="A638" s="27"/>
      <c r="B638" s="27"/>
      <c r="C638" s="27"/>
      <c r="D638" s="27"/>
      <c r="E638" s="27"/>
      <c r="F638" s="27"/>
      <c r="G638" s="27"/>
      <c r="J638" s="12"/>
      <c r="K638" s="12"/>
      <c r="L638" s="12"/>
    </row>
    <row r="639" ht="15.75" customHeight="1">
      <c r="A639" s="27"/>
      <c r="B639" s="27"/>
      <c r="C639" s="27"/>
      <c r="D639" s="27"/>
      <c r="E639" s="27"/>
      <c r="F639" s="27"/>
      <c r="G639" s="27"/>
      <c r="J639" s="12"/>
      <c r="K639" s="12"/>
      <c r="L639" s="12"/>
    </row>
    <row r="640" ht="15.75" customHeight="1">
      <c r="A640" s="27"/>
      <c r="B640" s="27"/>
      <c r="C640" s="27"/>
      <c r="D640" s="27"/>
      <c r="E640" s="27"/>
      <c r="F640" s="27"/>
      <c r="G640" s="27"/>
      <c r="J640" s="12"/>
      <c r="K640" s="12"/>
      <c r="L640" s="12"/>
    </row>
    <row r="641" ht="15.75" customHeight="1">
      <c r="A641" s="27"/>
      <c r="B641" s="27"/>
      <c r="C641" s="27"/>
      <c r="D641" s="27"/>
      <c r="E641" s="27"/>
      <c r="F641" s="27"/>
      <c r="G641" s="27"/>
      <c r="J641" s="12"/>
      <c r="K641" s="12"/>
      <c r="L641" s="12"/>
    </row>
    <row r="642" ht="15.75" customHeight="1">
      <c r="A642" s="27"/>
      <c r="B642" s="27"/>
      <c r="C642" s="27"/>
      <c r="D642" s="27"/>
      <c r="E642" s="27"/>
      <c r="F642" s="27"/>
      <c r="G642" s="27"/>
      <c r="J642" s="12"/>
      <c r="K642" s="12"/>
      <c r="L642" s="12"/>
    </row>
    <row r="643" ht="15.75" customHeight="1">
      <c r="A643" s="27"/>
      <c r="B643" s="27"/>
      <c r="C643" s="27"/>
      <c r="D643" s="27"/>
      <c r="E643" s="27"/>
      <c r="F643" s="27"/>
      <c r="G643" s="27"/>
      <c r="J643" s="12"/>
      <c r="K643" s="12"/>
      <c r="L643" s="12"/>
    </row>
    <row r="644" ht="15.75" customHeight="1">
      <c r="A644" s="27"/>
      <c r="B644" s="27"/>
      <c r="C644" s="27"/>
      <c r="D644" s="27"/>
      <c r="E644" s="27"/>
      <c r="F644" s="27"/>
      <c r="G644" s="27"/>
      <c r="J644" s="12"/>
      <c r="K644" s="12"/>
      <c r="L644" s="12"/>
    </row>
    <row r="645" ht="15.75" customHeight="1">
      <c r="A645" s="27"/>
      <c r="B645" s="27"/>
      <c r="C645" s="27"/>
      <c r="D645" s="27"/>
      <c r="E645" s="27"/>
      <c r="F645" s="27"/>
      <c r="G645" s="27"/>
      <c r="J645" s="12"/>
      <c r="K645" s="12"/>
      <c r="L645" s="12"/>
    </row>
    <row r="646" ht="15.75" customHeight="1">
      <c r="A646" s="27"/>
      <c r="B646" s="27"/>
      <c r="C646" s="27"/>
      <c r="D646" s="27"/>
      <c r="E646" s="27"/>
      <c r="F646" s="27"/>
      <c r="G646" s="27"/>
      <c r="J646" s="12"/>
      <c r="K646" s="12"/>
      <c r="L646" s="12"/>
    </row>
    <row r="647" ht="15.75" customHeight="1">
      <c r="A647" s="27"/>
      <c r="B647" s="27"/>
      <c r="C647" s="27"/>
      <c r="D647" s="27"/>
      <c r="E647" s="27"/>
      <c r="F647" s="27"/>
      <c r="G647" s="27"/>
      <c r="J647" s="12"/>
      <c r="K647" s="12"/>
      <c r="L647" s="12"/>
    </row>
    <row r="648" ht="15.75" customHeight="1">
      <c r="A648" s="27"/>
      <c r="B648" s="27"/>
      <c r="C648" s="27"/>
      <c r="D648" s="27"/>
      <c r="E648" s="27"/>
      <c r="F648" s="27"/>
      <c r="G648" s="27"/>
      <c r="J648" s="12"/>
      <c r="K648" s="12"/>
      <c r="L648" s="12"/>
    </row>
    <row r="649" ht="15.75" customHeight="1">
      <c r="A649" s="27"/>
      <c r="B649" s="27"/>
      <c r="C649" s="27"/>
      <c r="D649" s="27"/>
      <c r="E649" s="27"/>
      <c r="F649" s="27"/>
      <c r="G649" s="27"/>
      <c r="J649" s="12"/>
      <c r="K649" s="12"/>
      <c r="L649" s="12"/>
    </row>
    <row r="650" ht="15.75" customHeight="1">
      <c r="A650" s="27"/>
      <c r="B650" s="27"/>
      <c r="C650" s="27"/>
      <c r="D650" s="27"/>
      <c r="E650" s="27"/>
      <c r="F650" s="27"/>
      <c r="G650" s="27"/>
      <c r="J650" s="12"/>
      <c r="K650" s="12"/>
      <c r="L650" s="12"/>
    </row>
    <row r="651" ht="15.75" customHeight="1">
      <c r="A651" s="27"/>
      <c r="B651" s="27"/>
      <c r="C651" s="27"/>
      <c r="D651" s="27"/>
      <c r="E651" s="27"/>
      <c r="F651" s="27"/>
      <c r="G651" s="27"/>
      <c r="J651" s="12"/>
      <c r="K651" s="12"/>
      <c r="L651" s="12"/>
    </row>
    <row r="652" ht="15.75" customHeight="1">
      <c r="A652" s="27"/>
      <c r="B652" s="27"/>
      <c r="C652" s="27"/>
      <c r="D652" s="27"/>
      <c r="E652" s="27"/>
      <c r="F652" s="27"/>
      <c r="G652" s="27"/>
      <c r="J652" s="12"/>
      <c r="K652" s="12"/>
      <c r="L652" s="12"/>
    </row>
    <row r="653" ht="15.75" customHeight="1">
      <c r="A653" s="27"/>
      <c r="B653" s="27"/>
      <c r="C653" s="27"/>
      <c r="D653" s="27"/>
      <c r="E653" s="27"/>
      <c r="F653" s="27"/>
      <c r="G653" s="27"/>
      <c r="J653" s="12"/>
      <c r="K653" s="12"/>
      <c r="L653" s="12"/>
    </row>
    <row r="654" ht="15.75" customHeight="1">
      <c r="A654" s="27"/>
      <c r="B654" s="27"/>
      <c r="C654" s="27"/>
      <c r="D654" s="27"/>
      <c r="E654" s="27"/>
      <c r="F654" s="27"/>
      <c r="G654" s="27"/>
      <c r="J654" s="12"/>
      <c r="K654" s="12"/>
      <c r="L654" s="12"/>
    </row>
    <row r="655" ht="15.75" customHeight="1">
      <c r="A655" s="27"/>
      <c r="B655" s="27"/>
      <c r="C655" s="27"/>
      <c r="D655" s="27"/>
      <c r="E655" s="27"/>
      <c r="F655" s="27"/>
      <c r="G655" s="27"/>
      <c r="J655" s="12"/>
      <c r="K655" s="12"/>
      <c r="L655" s="12"/>
    </row>
    <row r="656" ht="15.75" customHeight="1">
      <c r="A656" s="27"/>
      <c r="B656" s="27"/>
      <c r="C656" s="27"/>
      <c r="D656" s="27"/>
      <c r="E656" s="27"/>
      <c r="F656" s="27"/>
      <c r="G656" s="27"/>
      <c r="J656" s="12"/>
      <c r="K656" s="12"/>
      <c r="L656" s="12"/>
    </row>
    <row r="657" ht="15.75" customHeight="1">
      <c r="A657" s="27"/>
      <c r="B657" s="27"/>
      <c r="C657" s="27"/>
      <c r="D657" s="27"/>
      <c r="E657" s="27"/>
      <c r="F657" s="27"/>
      <c r="G657" s="27"/>
      <c r="J657" s="12"/>
      <c r="K657" s="12"/>
      <c r="L657" s="12"/>
    </row>
    <row r="658" ht="15.75" customHeight="1">
      <c r="A658" s="27"/>
      <c r="B658" s="27"/>
      <c r="C658" s="27"/>
      <c r="D658" s="27"/>
      <c r="E658" s="27"/>
      <c r="F658" s="27"/>
      <c r="G658" s="27"/>
      <c r="J658" s="12"/>
      <c r="K658" s="12"/>
      <c r="L658" s="12"/>
    </row>
    <row r="659" ht="15.75" customHeight="1">
      <c r="A659" s="27"/>
      <c r="B659" s="27"/>
      <c r="C659" s="27"/>
      <c r="D659" s="27"/>
      <c r="E659" s="27"/>
      <c r="F659" s="27"/>
      <c r="G659" s="27"/>
      <c r="J659" s="12"/>
      <c r="K659" s="12"/>
      <c r="L659" s="12"/>
    </row>
    <row r="660" ht="15.75" customHeight="1">
      <c r="A660" s="27"/>
      <c r="B660" s="27"/>
      <c r="C660" s="27"/>
      <c r="D660" s="27"/>
      <c r="E660" s="27"/>
      <c r="F660" s="27"/>
      <c r="G660" s="27"/>
      <c r="J660" s="12"/>
      <c r="K660" s="12"/>
      <c r="L660" s="12"/>
    </row>
    <row r="661" ht="15.75" customHeight="1">
      <c r="A661" s="27"/>
      <c r="B661" s="27"/>
      <c r="C661" s="27"/>
      <c r="D661" s="27"/>
      <c r="E661" s="27"/>
      <c r="F661" s="27"/>
      <c r="G661" s="27"/>
      <c r="J661" s="12"/>
      <c r="K661" s="12"/>
      <c r="L661" s="12"/>
    </row>
    <row r="662" ht="15.75" customHeight="1">
      <c r="A662" s="27"/>
      <c r="B662" s="27"/>
      <c r="C662" s="27"/>
      <c r="D662" s="27"/>
      <c r="E662" s="27"/>
      <c r="F662" s="27"/>
      <c r="G662" s="27"/>
      <c r="J662" s="12"/>
      <c r="K662" s="12"/>
      <c r="L662" s="12"/>
    </row>
    <row r="663" ht="15.75" customHeight="1">
      <c r="A663" s="27"/>
      <c r="B663" s="27"/>
      <c r="C663" s="27"/>
      <c r="D663" s="27"/>
      <c r="E663" s="27"/>
      <c r="F663" s="27"/>
      <c r="G663" s="27"/>
      <c r="J663" s="12"/>
      <c r="K663" s="12"/>
      <c r="L663" s="12"/>
    </row>
    <row r="664" ht="15.75" customHeight="1">
      <c r="A664" s="27"/>
      <c r="B664" s="27"/>
      <c r="C664" s="27"/>
      <c r="D664" s="27"/>
      <c r="E664" s="27"/>
      <c r="F664" s="27"/>
      <c r="G664" s="27"/>
      <c r="J664" s="12"/>
      <c r="K664" s="12"/>
      <c r="L664" s="12"/>
    </row>
    <row r="665" ht="15.75" customHeight="1">
      <c r="A665" s="27"/>
      <c r="B665" s="27"/>
      <c r="C665" s="27"/>
      <c r="D665" s="27"/>
      <c r="E665" s="27"/>
      <c r="F665" s="27"/>
      <c r="G665" s="27"/>
      <c r="J665" s="12"/>
      <c r="K665" s="12"/>
      <c r="L665" s="12"/>
    </row>
    <row r="666" ht="15.75" customHeight="1">
      <c r="A666" s="27"/>
      <c r="B666" s="27"/>
      <c r="C666" s="27"/>
      <c r="D666" s="27"/>
      <c r="E666" s="27"/>
      <c r="F666" s="27"/>
      <c r="G666" s="27"/>
      <c r="J666" s="12"/>
      <c r="K666" s="12"/>
      <c r="L666" s="12"/>
    </row>
    <row r="667" ht="15.75" customHeight="1">
      <c r="A667" s="27"/>
      <c r="B667" s="27"/>
      <c r="C667" s="27"/>
      <c r="D667" s="27"/>
      <c r="E667" s="27"/>
      <c r="F667" s="27"/>
      <c r="G667" s="27"/>
      <c r="J667" s="12"/>
      <c r="K667" s="12"/>
      <c r="L667" s="12"/>
    </row>
    <row r="668" ht="15.75" customHeight="1">
      <c r="A668" s="27"/>
      <c r="B668" s="27"/>
      <c r="C668" s="27"/>
      <c r="D668" s="27"/>
      <c r="E668" s="27"/>
      <c r="F668" s="27"/>
      <c r="G668" s="27"/>
      <c r="J668" s="12"/>
      <c r="K668" s="12"/>
      <c r="L668" s="12"/>
    </row>
    <row r="669" ht="15.75" customHeight="1">
      <c r="A669" s="27"/>
      <c r="B669" s="27"/>
      <c r="C669" s="27"/>
      <c r="D669" s="27"/>
      <c r="E669" s="27"/>
      <c r="F669" s="27"/>
      <c r="G669" s="27"/>
      <c r="J669" s="12"/>
      <c r="K669" s="12"/>
      <c r="L669" s="12"/>
    </row>
    <row r="670" ht="15.75" customHeight="1">
      <c r="A670" s="27"/>
      <c r="B670" s="27"/>
      <c r="C670" s="27"/>
      <c r="D670" s="27"/>
      <c r="E670" s="27"/>
      <c r="F670" s="27"/>
      <c r="G670" s="27"/>
      <c r="J670" s="12"/>
      <c r="K670" s="12"/>
      <c r="L670" s="12"/>
    </row>
    <row r="671" ht="15.75" customHeight="1">
      <c r="A671" s="27"/>
      <c r="B671" s="27"/>
      <c r="C671" s="27"/>
      <c r="D671" s="27"/>
      <c r="E671" s="27"/>
      <c r="F671" s="27"/>
      <c r="G671" s="27"/>
      <c r="J671" s="12"/>
      <c r="K671" s="12"/>
      <c r="L671" s="12"/>
    </row>
    <row r="672" ht="15.75" customHeight="1">
      <c r="A672" s="27"/>
      <c r="B672" s="27"/>
      <c r="C672" s="27"/>
      <c r="D672" s="27"/>
      <c r="E672" s="27"/>
      <c r="F672" s="27"/>
      <c r="G672" s="27"/>
      <c r="J672" s="12"/>
      <c r="K672" s="12"/>
      <c r="L672" s="12"/>
    </row>
    <row r="673" ht="15.75" customHeight="1">
      <c r="A673" s="27"/>
      <c r="B673" s="27"/>
      <c r="C673" s="27"/>
      <c r="D673" s="27"/>
      <c r="E673" s="27"/>
      <c r="F673" s="27"/>
      <c r="G673" s="27"/>
      <c r="J673" s="12"/>
      <c r="K673" s="12"/>
      <c r="L673" s="12"/>
    </row>
    <row r="674" ht="15.75" customHeight="1">
      <c r="A674" s="27"/>
      <c r="B674" s="27"/>
      <c r="C674" s="27"/>
      <c r="D674" s="27"/>
      <c r="E674" s="27"/>
      <c r="F674" s="27"/>
      <c r="G674" s="27"/>
      <c r="J674" s="12"/>
      <c r="K674" s="12"/>
      <c r="L674" s="12"/>
    </row>
    <row r="675" ht="15.75" customHeight="1">
      <c r="A675" s="27"/>
      <c r="B675" s="27"/>
      <c r="C675" s="27"/>
      <c r="D675" s="27"/>
      <c r="E675" s="27"/>
      <c r="F675" s="27"/>
      <c r="G675" s="27"/>
      <c r="J675" s="12"/>
      <c r="K675" s="12"/>
      <c r="L675" s="12"/>
    </row>
    <row r="676" ht="15.75" customHeight="1">
      <c r="A676" s="27"/>
      <c r="B676" s="27"/>
      <c r="C676" s="27"/>
      <c r="D676" s="27"/>
      <c r="E676" s="27"/>
      <c r="F676" s="27"/>
      <c r="G676" s="27"/>
      <c r="J676" s="12"/>
      <c r="K676" s="12"/>
      <c r="L676" s="12"/>
    </row>
    <row r="677" ht="15.75" customHeight="1">
      <c r="A677" s="27"/>
      <c r="B677" s="27"/>
      <c r="C677" s="27"/>
      <c r="D677" s="27"/>
      <c r="E677" s="27"/>
      <c r="F677" s="27"/>
      <c r="G677" s="27"/>
      <c r="J677" s="12"/>
      <c r="K677" s="12"/>
      <c r="L677" s="12"/>
    </row>
    <row r="678" ht="15.75" customHeight="1">
      <c r="A678" s="27"/>
      <c r="B678" s="27"/>
      <c r="C678" s="27"/>
      <c r="D678" s="27"/>
      <c r="E678" s="27"/>
      <c r="F678" s="27"/>
      <c r="G678" s="27"/>
      <c r="J678" s="12"/>
      <c r="K678" s="12"/>
      <c r="L678" s="12"/>
    </row>
    <row r="679" ht="15.75" customHeight="1">
      <c r="A679" s="27"/>
      <c r="B679" s="27"/>
      <c r="C679" s="27"/>
      <c r="D679" s="27"/>
      <c r="E679" s="27"/>
      <c r="F679" s="27"/>
      <c r="G679" s="27"/>
      <c r="J679" s="12"/>
      <c r="K679" s="12"/>
      <c r="L679" s="12"/>
    </row>
    <row r="680" ht="15.75" customHeight="1">
      <c r="A680" s="27"/>
      <c r="B680" s="27"/>
      <c r="C680" s="27"/>
      <c r="D680" s="27"/>
      <c r="E680" s="27"/>
      <c r="F680" s="27"/>
      <c r="G680" s="27"/>
      <c r="J680" s="12"/>
      <c r="K680" s="12"/>
      <c r="L680" s="12"/>
    </row>
    <row r="681" ht="15.75" customHeight="1">
      <c r="A681" s="27"/>
      <c r="B681" s="27"/>
      <c r="C681" s="27"/>
      <c r="D681" s="27"/>
      <c r="E681" s="27"/>
      <c r="F681" s="27"/>
      <c r="G681" s="27"/>
      <c r="J681" s="12"/>
      <c r="K681" s="12"/>
      <c r="L681" s="12"/>
    </row>
    <row r="682" ht="15.75" customHeight="1">
      <c r="A682" s="27"/>
      <c r="B682" s="27"/>
      <c r="C682" s="27"/>
      <c r="D682" s="27"/>
      <c r="E682" s="27"/>
      <c r="F682" s="27"/>
      <c r="G682" s="27"/>
      <c r="J682" s="12"/>
      <c r="K682" s="12"/>
      <c r="L682" s="12"/>
    </row>
    <row r="683" ht="15.75" customHeight="1">
      <c r="A683" s="27"/>
      <c r="B683" s="27"/>
      <c r="C683" s="27"/>
      <c r="D683" s="27"/>
      <c r="E683" s="27"/>
      <c r="F683" s="27"/>
      <c r="G683" s="27"/>
      <c r="J683" s="12"/>
      <c r="K683" s="12"/>
      <c r="L683" s="12"/>
    </row>
    <row r="684" ht="15.75" customHeight="1">
      <c r="A684" s="27"/>
      <c r="B684" s="27"/>
      <c r="C684" s="27"/>
      <c r="D684" s="27"/>
      <c r="E684" s="27"/>
      <c r="F684" s="27"/>
      <c r="G684" s="27"/>
      <c r="J684" s="12"/>
      <c r="K684" s="12"/>
      <c r="L684" s="12"/>
    </row>
    <row r="685" ht="15.75" customHeight="1">
      <c r="A685" s="27"/>
      <c r="B685" s="27"/>
      <c r="C685" s="27"/>
      <c r="D685" s="27"/>
      <c r="E685" s="27"/>
      <c r="F685" s="27"/>
      <c r="G685" s="27"/>
      <c r="J685" s="12"/>
      <c r="K685" s="12"/>
      <c r="L685" s="12"/>
    </row>
    <row r="686" ht="15.75" customHeight="1">
      <c r="A686" s="27"/>
      <c r="B686" s="27"/>
      <c r="C686" s="27"/>
      <c r="D686" s="27"/>
      <c r="E686" s="27"/>
      <c r="F686" s="27"/>
      <c r="G686" s="27"/>
      <c r="J686" s="12"/>
      <c r="K686" s="12"/>
      <c r="L686" s="12"/>
    </row>
    <row r="687" ht="15.75" customHeight="1">
      <c r="A687" s="27"/>
      <c r="B687" s="27"/>
      <c r="C687" s="27"/>
      <c r="D687" s="27"/>
      <c r="E687" s="27"/>
      <c r="F687" s="27"/>
      <c r="G687" s="27"/>
      <c r="J687" s="12"/>
      <c r="K687" s="12"/>
      <c r="L687" s="12"/>
    </row>
    <row r="688" ht="15.75" customHeight="1">
      <c r="A688" s="27"/>
      <c r="B688" s="27"/>
      <c r="C688" s="27"/>
      <c r="D688" s="27"/>
      <c r="E688" s="27"/>
      <c r="F688" s="27"/>
      <c r="G688" s="27"/>
      <c r="J688" s="12"/>
      <c r="K688" s="12"/>
      <c r="L688" s="12"/>
    </row>
    <row r="689" ht="15.75" customHeight="1">
      <c r="A689" s="27"/>
      <c r="B689" s="27"/>
      <c r="C689" s="27"/>
      <c r="D689" s="27"/>
      <c r="E689" s="27"/>
      <c r="F689" s="27"/>
      <c r="G689" s="27"/>
      <c r="J689" s="12"/>
      <c r="K689" s="12"/>
      <c r="L689" s="12"/>
    </row>
    <row r="690" ht="15.75" customHeight="1">
      <c r="A690" s="27"/>
      <c r="B690" s="27"/>
      <c r="C690" s="27"/>
      <c r="D690" s="27"/>
      <c r="E690" s="27"/>
      <c r="F690" s="27"/>
      <c r="G690" s="27"/>
      <c r="J690" s="12"/>
      <c r="K690" s="12"/>
      <c r="L690" s="12"/>
    </row>
    <row r="691" ht="15.75" customHeight="1">
      <c r="A691" s="27"/>
      <c r="B691" s="27"/>
      <c r="C691" s="27"/>
      <c r="D691" s="27"/>
      <c r="E691" s="27"/>
      <c r="F691" s="27"/>
      <c r="G691" s="27"/>
      <c r="J691" s="12"/>
      <c r="K691" s="12"/>
      <c r="L691" s="12"/>
    </row>
    <row r="692" ht="15.75" customHeight="1">
      <c r="A692" s="27"/>
      <c r="B692" s="27"/>
      <c r="C692" s="27"/>
      <c r="D692" s="27"/>
      <c r="E692" s="27"/>
      <c r="F692" s="27"/>
      <c r="G692" s="27"/>
      <c r="J692" s="12"/>
      <c r="K692" s="12"/>
      <c r="L692" s="12"/>
    </row>
    <row r="693" ht="15.75" customHeight="1">
      <c r="A693" s="27"/>
      <c r="B693" s="27"/>
      <c r="C693" s="27"/>
      <c r="D693" s="27"/>
      <c r="E693" s="27"/>
      <c r="F693" s="27"/>
      <c r="G693" s="27"/>
      <c r="J693" s="12"/>
      <c r="K693" s="12"/>
      <c r="L693" s="12"/>
    </row>
    <row r="694" ht="15.75" customHeight="1">
      <c r="A694" s="27"/>
      <c r="B694" s="27"/>
      <c r="C694" s="27"/>
      <c r="D694" s="27"/>
      <c r="E694" s="27"/>
      <c r="F694" s="27"/>
      <c r="G694" s="27"/>
      <c r="J694" s="12"/>
      <c r="K694" s="12"/>
      <c r="L694" s="12"/>
    </row>
    <row r="695" ht="15.75" customHeight="1">
      <c r="A695" s="27"/>
      <c r="B695" s="27"/>
      <c r="C695" s="27"/>
      <c r="D695" s="27"/>
      <c r="E695" s="27"/>
      <c r="F695" s="27"/>
      <c r="G695" s="27"/>
      <c r="J695" s="12"/>
      <c r="K695" s="12"/>
      <c r="L695" s="12"/>
    </row>
    <row r="696" ht="15.75" customHeight="1">
      <c r="A696" s="27"/>
      <c r="B696" s="27"/>
      <c r="C696" s="27"/>
      <c r="D696" s="27"/>
      <c r="E696" s="27"/>
      <c r="F696" s="27"/>
      <c r="G696" s="27"/>
      <c r="J696" s="12"/>
      <c r="K696" s="12"/>
      <c r="L696" s="12"/>
    </row>
    <row r="697" ht="15.75" customHeight="1">
      <c r="A697" s="27"/>
      <c r="B697" s="27"/>
      <c r="C697" s="27"/>
      <c r="D697" s="27"/>
      <c r="E697" s="27"/>
      <c r="F697" s="27"/>
      <c r="G697" s="27"/>
      <c r="J697" s="12"/>
      <c r="K697" s="12"/>
      <c r="L697" s="12"/>
    </row>
    <row r="698" ht="15.75" customHeight="1">
      <c r="A698" s="27"/>
      <c r="B698" s="27"/>
      <c r="C698" s="27"/>
      <c r="D698" s="27"/>
      <c r="E698" s="27"/>
      <c r="F698" s="27"/>
      <c r="G698" s="27"/>
      <c r="J698" s="12"/>
      <c r="K698" s="12"/>
      <c r="L698" s="12"/>
    </row>
    <row r="699" ht="15.75" customHeight="1">
      <c r="A699" s="27"/>
      <c r="B699" s="27"/>
      <c r="C699" s="27"/>
      <c r="D699" s="27"/>
      <c r="E699" s="27"/>
      <c r="F699" s="27"/>
      <c r="G699" s="27"/>
      <c r="J699" s="12"/>
      <c r="K699" s="12"/>
      <c r="L699" s="12"/>
    </row>
    <row r="700" ht="15.75" customHeight="1">
      <c r="A700" s="27"/>
      <c r="B700" s="27"/>
      <c r="C700" s="27"/>
      <c r="D700" s="27"/>
      <c r="E700" s="27"/>
      <c r="F700" s="27"/>
      <c r="G700" s="27"/>
      <c r="J700" s="12"/>
      <c r="K700" s="12"/>
      <c r="L700" s="12"/>
    </row>
    <row r="701" ht="15.75" customHeight="1">
      <c r="A701" s="27"/>
      <c r="B701" s="27"/>
      <c r="C701" s="27"/>
      <c r="D701" s="27"/>
      <c r="E701" s="27"/>
      <c r="F701" s="27"/>
      <c r="G701" s="27"/>
      <c r="J701" s="12"/>
      <c r="K701" s="12"/>
      <c r="L701" s="12"/>
    </row>
    <row r="702" ht="15.75" customHeight="1">
      <c r="A702" s="27"/>
      <c r="B702" s="27"/>
      <c r="C702" s="27"/>
      <c r="D702" s="27"/>
      <c r="E702" s="27"/>
      <c r="F702" s="27"/>
      <c r="G702" s="27"/>
      <c r="J702" s="12"/>
      <c r="K702" s="12"/>
      <c r="L702" s="12"/>
    </row>
    <row r="703" ht="15.75" customHeight="1">
      <c r="A703" s="27"/>
      <c r="B703" s="27"/>
      <c r="C703" s="27"/>
      <c r="D703" s="27"/>
      <c r="E703" s="27"/>
      <c r="F703" s="27"/>
      <c r="G703" s="27"/>
      <c r="J703" s="12"/>
      <c r="K703" s="12"/>
      <c r="L703" s="12"/>
    </row>
    <row r="704" ht="15.75" customHeight="1">
      <c r="A704" s="27"/>
      <c r="B704" s="27"/>
      <c r="C704" s="27"/>
      <c r="D704" s="27"/>
      <c r="E704" s="27"/>
      <c r="F704" s="27"/>
      <c r="G704" s="27"/>
      <c r="J704" s="12"/>
      <c r="K704" s="12"/>
      <c r="L704" s="12"/>
    </row>
    <row r="705" ht="15.75" customHeight="1">
      <c r="A705" s="27"/>
      <c r="B705" s="27"/>
      <c r="C705" s="27"/>
      <c r="D705" s="27"/>
      <c r="E705" s="27"/>
      <c r="F705" s="27"/>
      <c r="G705" s="27"/>
      <c r="J705" s="12"/>
      <c r="K705" s="12"/>
      <c r="L705" s="12"/>
    </row>
    <row r="706" ht="15.75" customHeight="1">
      <c r="A706" s="27"/>
      <c r="B706" s="27"/>
      <c r="C706" s="27"/>
      <c r="D706" s="27"/>
      <c r="E706" s="27"/>
      <c r="F706" s="27"/>
      <c r="G706" s="27"/>
      <c r="J706" s="12"/>
      <c r="K706" s="12"/>
      <c r="L706" s="12"/>
    </row>
    <row r="707" ht="15.75" customHeight="1">
      <c r="A707" s="27"/>
      <c r="B707" s="27"/>
      <c r="C707" s="27"/>
      <c r="D707" s="27"/>
      <c r="E707" s="27"/>
      <c r="F707" s="27"/>
      <c r="G707" s="27"/>
      <c r="J707" s="12"/>
      <c r="K707" s="12"/>
      <c r="L707" s="12"/>
    </row>
    <row r="708" ht="15.75" customHeight="1">
      <c r="A708" s="27"/>
      <c r="B708" s="27"/>
      <c r="C708" s="27"/>
      <c r="D708" s="27"/>
      <c r="E708" s="27"/>
      <c r="F708" s="27"/>
      <c r="G708" s="27"/>
      <c r="J708" s="12"/>
      <c r="K708" s="12"/>
      <c r="L708" s="12"/>
    </row>
    <row r="709" ht="15.75" customHeight="1">
      <c r="A709" s="27"/>
      <c r="B709" s="27"/>
      <c r="C709" s="27"/>
      <c r="D709" s="27"/>
      <c r="E709" s="27"/>
      <c r="F709" s="27"/>
      <c r="G709" s="27"/>
      <c r="J709" s="12"/>
      <c r="K709" s="12"/>
      <c r="L709" s="12"/>
    </row>
    <row r="710" ht="15.75" customHeight="1">
      <c r="A710" s="27"/>
      <c r="B710" s="27"/>
      <c r="C710" s="27"/>
      <c r="D710" s="27"/>
      <c r="E710" s="27"/>
      <c r="F710" s="27"/>
      <c r="G710" s="27"/>
      <c r="J710" s="12"/>
      <c r="K710" s="12"/>
      <c r="L710" s="12"/>
    </row>
    <row r="711" ht="15.75" customHeight="1">
      <c r="A711" s="27"/>
      <c r="B711" s="27"/>
      <c r="C711" s="27"/>
      <c r="D711" s="27"/>
      <c r="E711" s="27"/>
      <c r="F711" s="27"/>
      <c r="G711" s="27"/>
      <c r="J711" s="12"/>
      <c r="K711" s="12"/>
      <c r="L711" s="12"/>
    </row>
    <row r="712" ht="15.75" customHeight="1">
      <c r="A712" s="27"/>
      <c r="B712" s="27"/>
      <c r="C712" s="27"/>
      <c r="D712" s="27"/>
      <c r="E712" s="27"/>
      <c r="F712" s="27"/>
      <c r="G712" s="27"/>
      <c r="J712" s="12"/>
      <c r="K712" s="12"/>
      <c r="L712" s="12"/>
    </row>
    <row r="713" ht="15.75" customHeight="1">
      <c r="A713" s="27"/>
      <c r="B713" s="27"/>
      <c r="C713" s="27"/>
      <c r="D713" s="27"/>
      <c r="E713" s="27"/>
      <c r="F713" s="27"/>
      <c r="G713" s="27"/>
      <c r="J713" s="12"/>
      <c r="K713" s="12"/>
      <c r="L713" s="12"/>
    </row>
    <row r="714" ht="15.75" customHeight="1">
      <c r="A714" s="27"/>
      <c r="B714" s="27"/>
      <c r="C714" s="27"/>
      <c r="D714" s="27"/>
      <c r="E714" s="27"/>
      <c r="F714" s="27"/>
      <c r="G714" s="27"/>
      <c r="J714" s="12"/>
      <c r="K714" s="12"/>
      <c r="L714" s="12"/>
    </row>
    <row r="715" ht="15.75" customHeight="1">
      <c r="A715" s="27"/>
      <c r="B715" s="27"/>
      <c r="C715" s="27"/>
      <c r="D715" s="27"/>
      <c r="E715" s="27"/>
      <c r="F715" s="27"/>
      <c r="G715" s="27"/>
      <c r="J715" s="12"/>
      <c r="K715" s="12"/>
      <c r="L715" s="12"/>
    </row>
    <row r="716" ht="15.75" customHeight="1">
      <c r="A716" s="27"/>
      <c r="B716" s="27"/>
      <c r="C716" s="27"/>
      <c r="D716" s="27"/>
      <c r="E716" s="27"/>
      <c r="F716" s="27"/>
      <c r="G716" s="27"/>
      <c r="J716" s="12"/>
      <c r="K716" s="12"/>
      <c r="L716" s="12"/>
    </row>
    <row r="717" ht="15.75" customHeight="1">
      <c r="A717" s="27"/>
      <c r="B717" s="27"/>
      <c r="C717" s="27"/>
      <c r="D717" s="27"/>
      <c r="E717" s="27"/>
      <c r="F717" s="27"/>
      <c r="G717" s="27"/>
      <c r="J717" s="12"/>
      <c r="K717" s="12"/>
      <c r="L717" s="12"/>
    </row>
    <row r="718" ht="15.75" customHeight="1">
      <c r="A718" s="27"/>
      <c r="B718" s="27"/>
      <c r="C718" s="27"/>
      <c r="D718" s="27"/>
      <c r="E718" s="27"/>
      <c r="F718" s="27"/>
      <c r="G718" s="27"/>
      <c r="J718" s="12"/>
      <c r="K718" s="12"/>
      <c r="L718" s="12"/>
    </row>
    <row r="719" ht="15.75" customHeight="1">
      <c r="A719" s="27"/>
      <c r="B719" s="27"/>
      <c r="C719" s="27"/>
      <c r="D719" s="27"/>
      <c r="E719" s="27"/>
      <c r="F719" s="27"/>
      <c r="G719" s="27"/>
      <c r="J719" s="12"/>
      <c r="K719" s="12"/>
      <c r="L719" s="12"/>
    </row>
    <row r="720" ht="15.75" customHeight="1">
      <c r="A720" s="27"/>
      <c r="B720" s="27"/>
      <c r="C720" s="27"/>
      <c r="D720" s="27"/>
      <c r="E720" s="27"/>
      <c r="F720" s="27"/>
      <c r="G720" s="27"/>
      <c r="J720" s="12"/>
      <c r="K720" s="12"/>
      <c r="L720" s="12"/>
    </row>
    <row r="721" ht="15.75" customHeight="1">
      <c r="A721" s="27"/>
      <c r="B721" s="27"/>
      <c r="C721" s="27"/>
      <c r="D721" s="27"/>
      <c r="E721" s="27"/>
      <c r="F721" s="27"/>
      <c r="G721" s="27"/>
      <c r="J721" s="12"/>
      <c r="K721" s="12"/>
      <c r="L721" s="12"/>
    </row>
    <row r="722" ht="15.75" customHeight="1">
      <c r="A722" s="27"/>
      <c r="B722" s="27"/>
      <c r="C722" s="27"/>
      <c r="D722" s="27"/>
      <c r="E722" s="27"/>
      <c r="F722" s="27"/>
      <c r="G722" s="27"/>
      <c r="J722" s="12"/>
      <c r="K722" s="12"/>
      <c r="L722" s="12"/>
    </row>
    <row r="723" ht="15.75" customHeight="1">
      <c r="A723" s="27"/>
      <c r="B723" s="27"/>
      <c r="C723" s="27"/>
      <c r="D723" s="27"/>
      <c r="E723" s="27"/>
      <c r="F723" s="27"/>
      <c r="G723" s="27"/>
      <c r="J723" s="12"/>
      <c r="K723" s="12"/>
      <c r="L723" s="12"/>
    </row>
    <row r="724" ht="15.75" customHeight="1">
      <c r="A724" s="27"/>
      <c r="B724" s="27"/>
      <c r="C724" s="27"/>
      <c r="D724" s="27"/>
      <c r="E724" s="27"/>
      <c r="F724" s="27"/>
      <c r="G724" s="27"/>
      <c r="J724" s="12"/>
      <c r="K724" s="12"/>
      <c r="L724" s="12"/>
    </row>
    <row r="725" ht="15.75" customHeight="1">
      <c r="A725" s="27"/>
      <c r="B725" s="27"/>
      <c r="C725" s="27"/>
      <c r="D725" s="27"/>
      <c r="E725" s="27"/>
      <c r="F725" s="27"/>
      <c r="G725" s="27"/>
      <c r="J725" s="12"/>
      <c r="K725" s="12"/>
      <c r="L725" s="12"/>
    </row>
    <row r="726" ht="15.75" customHeight="1">
      <c r="A726" s="27"/>
      <c r="B726" s="27"/>
      <c r="C726" s="27"/>
      <c r="D726" s="27"/>
      <c r="E726" s="27"/>
      <c r="F726" s="27"/>
      <c r="G726" s="27"/>
      <c r="J726" s="12"/>
      <c r="K726" s="12"/>
      <c r="L726" s="12"/>
    </row>
    <row r="727" ht="15.75" customHeight="1">
      <c r="A727" s="27"/>
      <c r="B727" s="27"/>
      <c r="C727" s="27"/>
      <c r="D727" s="27"/>
      <c r="E727" s="27"/>
      <c r="F727" s="27"/>
      <c r="G727" s="27"/>
      <c r="J727" s="12"/>
      <c r="K727" s="12"/>
      <c r="L727" s="12"/>
    </row>
    <row r="728" ht="15.75" customHeight="1">
      <c r="A728" s="27"/>
      <c r="B728" s="27"/>
      <c r="C728" s="27"/>
      <c r="D728" s="27"/>
      <c r="E728" s="27"/>
      <c r="F728" s="27"/>
      <c r="G728" s="27"/>
      <c r="J728" s="12"/>
      <c r="K728" s="12"/>
      <c r="L728" s="12"/>
    </row>
    <row r="729" ht="15.75" customHeight="1">
      <c r="A729" s="27"/>
      <c r="B729" s="27"/>
      <c r="C729" s="27"/>
      <c r="D729" s="27"/>
      <c r="E729" s="27"/>
      <c r="F729" s="27"/>
      <c r="G729" s="27"/>
      <c r="J729" s="12"/>
      <c r="K729" s="12"/>
      <c r="L729" s="12"/>
    </row>
    <row r="730" ht="15.75" customHeight="1">
      <c r="A730" s="27"/>
      <c r="B730" s="27"/>
      <c r="C730" s="27"/>
      <c r="D730" s="27"/>
      <c r="E730" s="27"/>
      <c r="F730" s="27"/>
      <c r="G730" s="27"/>
      <c r="J730" s="12"/>
      <c r="K730" s="12"/>
      <c r="L730" s="12"/>
    </row>
    <row r="731" ht="15.75" customHeight="1">
      <c r="A731" s="27"/>
      <c r="B731" s="27"/>
      <c r="C731" s="27"/>
      <c r="D731" s="27"/>
      <c r="E731" s="27"/>
      <c r="F731" s="27"/>
      <c r="G731" s="27"/>
      <c r="J731" s="12"/>
      <c r="K731" s="12"/>
      <c r="L731" s="12"/>
    </row>
    <row r="732" ht="15.75" customHeight="1">
      <c r="A732" s="27"/>
      <c r="B732" s="27"/>
      <c r="C732" s="27"/>
      <c r="D732" s="27"/>
      <c r="E732" s="27"/>
      <c r="F732" s="27"/>
      <c r="G732" s="27"/>
      <c r="J732" s="12"/>
      <c r="K732" s="12"/>
      <c r="L732" s="12"/>
    </row>
    <row r="733" ht="15.75" customHeight="1">
      <c r="A733" s="27"/>
      <c r="B733" s="27"/>
      <c r="C733" s="27"/>
      <c r="D733" s="27"/>
      <c r="E733" s="27"/>
      <c r="F733" s="27"/>
      <c r="G733" s="27"/>
      <c r="J733" s="12"/>
      <c r="K733" s="12"/>
      <c r="L733" s="12"/>
    </row>
    <row r="734" ht="15.75" customHeight="1">
      <c r="A734" s="27"/>
      <c r="B734" s="27"/>
      <c r="C734" s="27"/>
      <c r="D734" s="27"/>
      <c r="E734" s="27"/>
      <c r="F734" s="27"/>
      <c r="G734" s="27"/>
      <c r="J734" s="12"/>
      <c r="K734" s="12"/>
      <c r="L734" s="12"/>
    </row>
    <row r="735" ht="15.75" customHeight="1">
      <c r="A735" s="27"/>
      <c r="B735" s="27"/>
      <c r="C735" s="27"/>
      <c r="D735" s="27"/>
      <c r="E735" s="27"/>
      <c r="F735" s="27"/>
      <c r="G735" s="27"/>
      <c r="J735" s="12"/>
      <c r="K735" s="12"/>
      <c r="L735" s="12"/>
    </row>
    <row r="736" ht="15.75" customHeight="1">
      <c r="A736" s="27"/>
      <c r="B736" s="27"/>
      <c r="C736" s="27"/>
      <c r="D736" s="27"/>
      <c r="E736" s="27"/>
      <c r="F736" s="27"/>
      <c r="G736" s="27"/>
      <c r="J736" s="12"/>
      <c r="K736" s="12"/>
      <c r="L736" s="12"/>
    </row>
    <row r="737" ht="15.75" customHeight="1">
      <c r="A737" s="27"/>
      <c r="B737" s="27"/>
      <c r="C737" s="27"/>
      <c r="D737" s="27"/>
      <c r="E737" s="27"/>
      <c r="F737" s="27"/>
      <c r="G737" s="27"/>
      <c r="J737" s="12"/>
      <c r="K737" s="12"/>
      <c r="L737" s="12"/>
    </row>
    <row r="738" ht="15.75" customHeight="1">
      <c r="A738" s="27"/>
      <c r="B738" s="27"/>
      <c r="C738" s="27"/>
      <c r="D738" s="27"/>
      <c r="E738" s="27"/>
      <c r="F738" s="27"/>
      <c r="G738" s="27"/>
      <c r="J738" s="12"/>
      <c r="K738" s="12"/>
      <c r="L738" s="12"/>
    </row>
    <row r="739" ht="15.75" customHeight="1">
      <c r="A739" s="27"/>
      <c r="B739" s="27"/>
      <c r="C739" s="27"/>
      <c r="D739" s="27"/>
      <c r="E739" s="27"/>
      <c r="F739" s="27"/>
      <c r="G739" s="27"/>
      <c r="J739" s="12"/>
      <c r="K739" s="12"/>
      <c r="L739" s="12"/>
    </row>
    <row r="740" ht="15.75" customHeight="1">
      <c r="A740" s="27"/>
      <c r="B740" s="27"/>
      <c r="C740" s="27"/>
      <c r="D740" s="27"/>
      <c r="E740" s="27"/>
      <c r="F740" s="27"/>
      <c r="G740" s="27"/>
      <c r="J740" s="12"/>
      <c r="K740" s="12"/>
      <c r="L740" s="12"/>
    </row>
    <row r="741" ht="15.75" customHeight="1">
      <c r="A741" s="27"/>
      <c r="B741" s="27"/>
      <c r="C741" s="27"/>
      <c r="D741" s="27"/>
      <c r="E741" s="27"/>
      <c r="F741" s="27"/>
      <c r="G741" s="27"/>
      <c r="J741" s="12"/>
      <c r="K741" s="12"/>
      <c r="L741" s="12"/>
    </row>
    <row r="742" ht="15.75" customHeight="1">
      <c r="A742" s="27"/>
      <c r="B742" s="27"/>
      <c r="C742" s="27"/>
      <c r="D742" s="27"/>
      <c r="E742" s="27"/>
      <c r="F742" s="27"/>
      <c r="G742" s="27"/>
      <c r="J742" s="12"/>
      <c r="K742" s="12"/>
      <c r="L742" s="12"/>
    </row>
    <row r="743" ht="15.75" customHeight="1">
      <c r="A743" s="27"/>
      <c r="B743" s="27"/>
      <c r="C743" s="27"/>
      <c r="D743" s="27"/>
      <c r="E743" s="27"/>
      <c r="F743" s="27"/>
      <c r="G743" s="27"/>
      <c r="J743" s="12"/>
      <c r="K743" s="12"/>
      <c r="L743" s="12"/>
    </row>
    <row r="744" ht="15.75" customHeight="1">
      <c r="A744" s="27"/>
      <c r="B744" s="27"/>
      <c r="C744" s="27"/>
      <c r="D744" s="27"/>
      <c r="E744" s="27"/>
      <c r="F744" s="27"/>
      <c r="G744" s="27"/>
      <c r="J744" s="12"/>
      <c r="K744" s="12"/>
      <c r="L744" s="12"/>
    </row>
    <row r="745" ht="15.75" customHeight="1">
      <c r="A745" s="27"/>
      <c r="B745" s="27"/>
      <c r="C745" s="27"/>
      <c r="D745" s="27"/>
      <c r="E745" s="27"/>
      <c r="F745" s="27"/>
      <c r="G745" s="27"/>
      <c r="J745" s="12"/>
      <c r="K745" s="12"/>
      <c r="L745" s="12"/>
    </row>
    <row r="746" ht="15.75" customHeight="1">
      <c r="A746" s="27"/>
      <c r="B746" s="27"/>
      <c r="C746" s="27"/>
      <c r="D746" s="27"/>
      <c r="E746" s="27"/>
      <c r="F746" s="27"/>
      <c r="G746" s="27"/>
      <c r="J746" s="12"/>
      <c r="K746" s="12"/>
      <c r="L746" s="12"/>
    </row>
    <row r="747" ht="15.75" customHeight="1">
      <c r="A747" s="27"/>
      <c r="B747" s="27"/>
      <c r="C747" s="27"/>
      <c r="D747" s="27"/>
      <c r="E747" s="27"/>
      <c r="F747" s="27"/>
      <c r="G747" s="27"/>
      <c r="J747" s="12"/>
      <c r="K747" s="12"/>
      <c r="L747" s="12"/>
    </row>
    <row r="748" ht="15.75" customHeight="1">
      <c r="A748" s="27"/>
      <c r="B748" s="27"/>
      <c r="C748" s="27"/>
      <c r="D748" s="27"/>
      <c r="E748" s="27"/>
      <c r="F748" s="27"/>
      <c r="G748" s="27"/>
      <c r="J748" s="12"/>
      <c r="K748" s="12"/>
      <c r="L748" s="12"/>
    </row>
    <row r="749" ht="15.75" customHeight="1">
      <c r="A749" s="27"/>
      <c r="B749" s="27"/>
      <c r="C749" s="27"/>
      <c r="D749" s="27"/>
      <c r="E749" s="27"/>
      <c r="F749" s="27"/>
      <c r="G749" s="27"/>
      <c r="J749" s="12"/>
      <c r="K749" s="12"/>
      <c r="L749" s="12"/>
    </row>
    <row r="750" ht="15.75" customHeight="1">
      <c r="A750" s="27"/>
      <c r="B750" s="27"/>
      <c r="C750" s="27"/>
      <c r="D750" s="27"/>
      <c r="E750" s="27"/>
      <c r="F750" s="27"/>
      <c r="G750" s="27"/>
      <c r="J750" s="12"/>
      <c r="K750" s="12"/>
      <c r="L750" s="12"/>
    </row>
    <row r="751" ht="15.75" customHeight="1">
      <c r="A751" s="27"/>
      <c r="B751" s="27"/>
      <c r="C751" s="27"/>
      <c r="D751" s="27"/>
      <c r="E751" s="27"/>
      <c r="F751" s="27"/>
      <c r="G751" s="27"/>
      <c r="J751" s="12"/>
      <c r="K751" s="12"/>
      <c r="L751" s="12"/>
    </row>
    <row r="752" ht="15.75" customHeight="1">
      <c r="A752" s="27"/>
      <c r="B752" s="27"/>
      <c r="C752" s="27"/>
      <c r="D752" s="27"/>
      <c r="E752" s="27"/>
      <c r="F752" s="27"/>
      <c r="G752" s="27"/>
      <c r="J752" s="12"/>
      <c r="K752" s="12"/>
      <c r="L752" s="12"/>
    </row>
    <row r="753" ht="15.75" customHeight="1">
      <c r="A753" s="27"/>
      <c r="B753" s="27"/>
      <c r="C753" s="27"/>
      <c r="D753" s="27"/>
      <c r="E753" s="27"/>
      <c r="F753" s="27"/>
      <c r="G753" s="27"/>
      <c r="J753" s="12"/>
      <c r="K753" s="12"/>
      <c r="L753" s="12"/>
    </row>
    <row r="754" ht="15.75" customHeight="1">
      <c r="A754" s="27"/>
      <c r="B754" s="27"/>
      <c r="C754" s="27"/>
      <c r="D754" s="27"/>
      <c r="E754" s="27"/>
      <c r="F754" s="27"/>
      <c r="G754" s="27"/>
      <c r="J754" s="12"/>
      <c r="K754" s="12"/>
      <c r="L754" s="12"/>
    </row>
    <row r="755" ht="15.75" customHeight="1">
      <c r="A755" s="27"/>
      <c r="B755" s="27"/>
      <c r="C755" s="27"/>
      <c r="D755" s="27"/>
      <c r="E755" s="27"/>
      <c r="F755" s="27"/>
      <c r="G755" s="27"/>
      <c r="J755" s="12"/>
      <c r="K755" s="12"/>
      <c r="L755" s="12"/>
    </row>
    <row r="756" ht="15.75" customHeight="1">
      <c r="A756" s="27"/>
      <c r="B756" s="27"/>
      <c r="C756" s="27"/>
      <c r="D756" s="27"/>
      <c r="E756" s="27"/>
      <c r="F756" s="27"/>
      <c r="G756" s="27"/>
      <c r="J756" s="12"/>
      <c r="K756" s="12"/>
      <c r="L756" s="12"/>
    </row>
    <row r="757" ht="15.75" customHeight="1">
      <c r="A757" s="27"/>
      <c r="B757" s="27"/>
      <c r="C757" s="27"/>
      <c r="D757" s="27"/>
      <c r="E757" s="27"/>
      <c r="F757" s="27"/>
      <c r="G757" s="27"/>
      <c r="J757" s="12"/>
      <c r="K757" s="12"/>
      <c r="L757" s="12"/>
    </row>
    <row r="758" ht="15.75" customHeight="1">
      <c r="A758" s="27"/>
      <c r="B758" s="27"/>
      <c r="C758" s="27"/>
      <c r="D758" s="27"/>
      <c r="E758" s="27"/>
      <c r="F758" s="27"/>
      <c r="G758" s="27"/>
      <c r="J758" s="12"/>
      <c r="K758" s="12"/>
      <c r="L758" s="12"/>
    </row>
    <row r="759" ht="15.75" customHeight="1">
      <c r="A759" s="27"/>
      <c r="B759" s="27"/>
      <c r="C759" s="27"/>
      <c r="D759" s="27"/>
      <c r="E759" s="27"/>
      <c r="F759" s="27"/>
      <c r="G759" s="27"/>
      <c r="J759" s="12"/>
      <c r="K759" s="12"/>
      <c r="L759" s="12"/>
    </row>
    <row r="760" ht="15.75" customHeight="1">
      <c r="A760" s="27"/>
      <c r="B760" s="27"/>
      <c r="C760" s="27"/>
      <c r="D760" s="27"/>
      <c r="E760" s="27"/>
      <c r="F760" s="27"/>
      <c r="G760" s="27"/>
      <c r="J760" s="12"/>
      <c r="K760" s="12"/>
      <c r="L760" s="12"/>
    </row>
    <row r="761" ht="15.75" customHeight="1">
      <c r="A761" s="27"/>
      <c r="B761" s="27"/>
      <c r="C761" s="27"/>
      <c r="D761" s="27"/>
      <c r="E761" s="27"/>
      <c r="F761" s="27"/>
      <c r="G761" s="27"/>
      <c r="J761" s="12"/>
      <c r="K761" s="12"/>
      <c r="L761" s="12"/>
    </row>
    <row r="762" ht="15.75" customHeight="1">
      <c r="A762" s="27"/>
      <c r="B762" s="27"/>
      <c r="C762" s="27"/>
      <c r="D762" s="27"/>
      <c r="E762" s="27"/>
      <c r="F762" s="27"/>
      <c r="G762" s="27"/>
      <c r="J762" s="12"/>
      <c r="K762" s="12"/>
      <c r="L762" s="12"/>
    </row>
    <row r="763" ht="15.75" customHeight="1">
      <c r="A763" s="27"/>
      <c r="B763" s="27"/>
      <c r="C763" s="27"/>
      <c r="D763" s="27"/>
      <c r="E763" s="27"/>
      <c r="F763" s="27"/>
      <c r="G763" s="27"/>
      <c r="J763" s="12"/>
      <c r="K763" s="12"/>
      <c r="L763" s="12"/>
    </row>
    <row r="764" ht="15.75" customHeight="1">
      <c r="A764" s="27"/>
      <c r="B764" s="27"/>
      <c r="C764" s="27"/>
      <c r="D764" s="27"/>
      <c r="E764" s="27"/>
      <c r="F764" s="27"/>
      <c r="G764" s="27"/>
      <c r="J764" s="12"/>
      <c r="K764" s="12"/>
      <c r="L764" s="12"/>
    </row>
    <row r="765" ht="15.75" customHeight="1">
      <c r="A765" s="27"/>
      <c r="B765" s="27"/>
      <c r="C765" s="27"/>
      <c r="D765" s="27"/>
      <c r="E765" s="27"/>
      <c r="F765" s="27"/>
      <c r="G765" s="27"/>
      <c r="J765" s="12"/>
      <c r="K765" s="12"/>
      <c r="L765" s="12"/>
    </row>
  </sheetData>
  <autoFilter ref="$A$1:$N$170">
    <filterColumn colId="7">
      <filters>
        <filter val="77"/>
        <filter val="79"/>
        <filter val="71"/>
        <filter val="93"/>
        <filter val="83"/>
        <filter val="63"/>
        <filter val="43"/>
        <filter val="76"/>
      </filters>
    </filterColumn>
  </autoFilter>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D10"/>
    <hyperlink r:id="rId17" ref="E10"/>
    <hyperlink r:id="rId18" ref="D11"/>
    <hyperlink r:id="rId19" ref="D12"/>
    <hyperlink r:id="rId20" ref="E12"/>
    <hyperlink r:id="rId21" ref="D13"/>
    <hyperlink r:id="rId22" ref="D14"/>
    <hyperlink r:id="rId23" ref="E14"/>
    <hyperlink r:id="rId24" ref="D15"/>
    <hyperlink r:id="rId25" ref="D16"/>
    <hyperlink r:id="rId26" ref="E16"/>
    <hyperlink r:id="rId27" ref="D17"/>
    <hyperlink r:id="rId28" ref="E17"/>
    <hyperlink r:id="rId29" ref="D18"/>
    <hyperlink r:id="rId30" ref="E18"/>
    <hyperlink r:id="rId31" ref="D19"/>
    <hyperlink r:id="rId32" ref="E19"/>
    <hyperlink r:id="rId33" ref="D20"/>
    <hyperlink r:id="rId34" ref="E20"/>
    <hyperlink r:id="rId35" ref="D21"/>
    <hyperlink r:id="rId36" ref="E21"/>
    <hyperlink r:id="rId37" ref="D22"/>
    <hyperlink r:id="rId38" ref="E22"/>
    <hyperlink r:id="rId39" ref="D23"/>
    <hyperlink r:id="rId40" ref="E23"/>
    <hyperlink r:id="rId41" ref="D24"/>
    <hyperlink r:id="rId42" ref="E24"/>
    <hyperlink r:id="rId43" ref="D25"/>
    <hyperlink r:id="rId44" ref="E25"/>
    <hyperlink r:id="rId45" ref="D26"/>
    <hyperlink r:id="rId46" ref="E26"/>
    <hyperlink r:id="rId47" ref="D27"/>
    <hyperlink r:id="rId48" ref="E27"/>
    <hyperlink r:id="rId49" ref="D28"/>
    <hyperlink r:id="rId50" ref="E28"/>
    <hyperlink r:id="rId51" ref="D29"/>
    <hyperlink r:id="rId52" ref="E29"/>
    <hyperlink r:id="rId53" ref="D30"/>
    <hyperlink r:id="rId54" ref="E30"/>
    <hyperlink r:id="rId55" ref="D31"/>
    <hyperlink r:id="rId56" ref="E31"/>
    <hyperlink r:id="rId57" ref="D32"/>
    <hyperlink r:id="rId58" ref="E32"/>
    <hyperlink r:id="rId59" ref="D33"/>
    <hyperlink r:id="rId60" ref="E33"/>
    <hyperlink r:id="rId61" ref="D34"/>
    <hyperlink r:id="rId62" ref="E34"/>
    <hyperlink r:id="rId63" ref="D35"/>
    <hyperlink r:id="rId64" ref="E35"/>
    <hyperlink r:id="rId65" ref="D36"/>
    <hyperlink r:id="rId66" ref="E36"/>
    <hyperlink r:id="rId67" ref="D37"/>
    <hyperlink r:id="rId68" ref="E37"/>
    <hyperlink r:id="rId69" ref="D38"/>
    <hyperlink r:id="rId70" ref="E38"/>
    <hyperlink r:id="rId71" ref="D39"/>
    <hyperlink r:id="rId72" ref="E39"/>
    <hyperlink r:id="rId73" ref="E42"/>
    <hyperlink r:id="rId74" ref="E43"/>
    <hyperlink r:id="rId75" ref="D45"/>
    <hyperlink r:id="rId76" ref="D46"/>
    <hyperlink r:id="rId77" ref="D47"/>
    <hyperlink r:id="rId78" ref="D48"/>
    <hyperlink r:id="rId79" ref="D49"/>
    <hyperlink r:id="rId80" ref="D50"/>
    <hyperlink r:id="rId81" ref="D51"/>
    <hyperlink r:id="rId82" ref="E51"/>
    <hyperlink r:id="rId83" ref="D52"/>
    <hyperlink r:id="rId84" ref="E52"/>
    <hyperlink r:id="rId85" ref="D53"/>
    <hyperlink r:id="rId86" ref="E53"/>
    <hyperlink r:id="rId87" ref="D54"/>
    <hyperlink r:id="rId88" ref="E54"/>
    <hyperlink r:id="rId89" ref="D55"/>
    <hyperlink r:id="rId90" ref="E55"/>
    <hyperlink r:id="rId91" ref="D56"/>
    <hyperlink r:id="rId92" ref="D57"/>
    <hyperlink r:id="rId93" ref="E57"/>
    <hyperlink r:id="rId94" ref="D58"/>
    <hyperlink r:id="rId95" ref="E58"/>
    <hyperlink r:id="rId96" ref="D59"/>
    <hyperlink r:id="rId97" ref="E59"/>
    <hyperlink r:id="rId98" ref="D60"/>
    <hyperlink r:id="rId99" ref="E60"/>
    <hyperlink r:id="rId100" ref="D61"/>
    <hyperlink r:id="rId101" ref="E61"/>
    <hyperlink r:id="rId102" ref="D62"/>
    <hyperlink r:id="rId103" ref="E62"/>
    <hyperlink r:id="rId104" ref="D63"/>
    <hyperlink r:id="rId105" ref="E63"/>
    <hyperlink r:id="rId106" ref="D64"/>
    <hyperlink r:id="rId107" ref="E64"/>
    <hyperlink r:id="rId108" ref="D65"/>
    <hyperlink r:id="rId109" ref="E65"/>
    <hyperlink r:id="rId110" ref="D66"/>
    <hyperlink r:id="rId111" ref="E66"/>
    <hyperlink r:id="rId112" ref="D67"/>
    <hyperlink r:id="rId113" ref="E67"/>
    <hyperlink r:id="rId114" ref="D68"/>
    <hyperlink r:id="rId115" ref="E68"/>
    <hyperlink r:id="rId116" ref="D69"/>
    <hyperlink r:id="rId117" ref="E69"/>
    <hyperlink r:id="rId118" ref="D70"/>
    <hyperlink r:id="rId119" ref="E70"/>
    <hyperlink r:id="rId120" ref="D71"/>
    <hyperlink r:id="rId121" ref="E71"/>
    <hyperlink r:id="rId122" ref="D72"/>
    <hyperlink r:id="rId123" ref="E72"/>
    <hyperlink r:id="rId124" ref="D73"/>
    <hyperlink r:id="rId125" ref="E73"/>
    <hyperlink r:id="rId126" ref="D74"/>
    <hyperlink r:id="rId127" ref="E74"/>
    <hyperlink r:id="rId128" ref="D75"/>
    <hyperlink r:id="rId129" ref="E75"/>
    <hyperlink r:id="rId130" ref="D76"/>
    <hyperlink r:id="rId131" ref="E76"/>
    <hyperlink r:id="rId132" ref="D77"/>
    <hyperlink r:id="rId133" ref="E77"/>
    <hyperlink r:id="rId134" ref="D78"/>
    <hyperlink r:id="rId135" ref="E78"/>
    <hyperlink r:id="rId136" ref="D79"/>
    <hyperlink r:id="rId137" ref="E79"/>
    <hyperlink r:id="rId138" ref="D80"/>
    <hyperlink r:id="rId139" ref="E80"/>
    <hyperlink r:id="rId140" ref="D81"/>
    <hyperlink r:id="rId141" ref="E81"/>
    <hyperlink r:id="rId142" ref="D82"/>
    <hyperlink r:id="rId143" ref="E82"/>
    <hyperlink r:id="rId144" ref="D83"/>
    <hyperlink r:id="rId145" ref="E83"/>
    <hyperlink r:id="rId146" ref="D84"/>
    <hyperlink r:id="rId147" ref="E84"/>
    <hyperlink r:id="rId148" ref="D85"/>
    <hyperlink r:id="rId149" ref="E85"/>
    <hyperlink r:id="rId150" ref="D86"/>
    <hyperlink r:id="rId151" ref="E86"/>
    <hyperlink r:id="rId152" ref="D87"/>
    <hyperlink r:id="rId153" ref="E87"/>
    <hyperlink r:id="rId154" ref="D88"/>
    <hyperlink r:id="rId155" ref="E88"/>
    <hyperlink r:id="rId156" ref="D89"/>
    <hyperlink r:id="rId157" ref="E89"/>
    <hyperlink r:id="rId158" ref="D90"/>
    <hyperlink r:id="rId159" ref="E90"/>
    <hyperlink r:id="rId160" ref="D91"/>
    <hyperlink r:id="rId161" ref="E91"/>
    <hyperlink r:id="rId162" ref="D92"/>
    <hyperlink r:id="rId163" ref="E92"/>
    <hyperlink r:id="rId164" ref="D93"/>
    <hyperlink r:id="rId165" ref="E93"/>
    <hyperlink r:id="rId166" ref="D94"/>
    <hyperlink r:id="rId167" ref="E94"/>
    <hyperlink r:id="rId168" ref="D95"/>
    <hyperlink r:id="rId169" ref="E95"/>
    <hyperlink r:id="rId170" ref="D96"/>
    <hyperlink r:id="rId171" ref="E96"/>
    <hyperlink r:id="rId172" ref="D97"/>
    <hyperlink r:id="rId173" ref="E97"/>
    <hyperlink r:id="rId174" ref="D98"/>
    <hyperlink r:id="rId175" ref="E98"/>
    <hyperlink r:id="rId176" ref="D99"/>
    <hyperlink r:id="rId177" ref="E99"/>
    <hyperlink r:id="rId178" ref="D100"/>
    <hyperlink r:id="rId179" ref="E100"/>
    <hyperlink r:id="rId180" ref="D101"/>
    <hyperlink r:id="rId181" ref="E101"/>
    <hyperlink r:id="rId182" ref="D102"/>
    <hyperlink r:id="rId183" ref="D103"/>
    <hyperlink r:id="rId184" ref="D104"/>
    <hyperlink r:id="rId185" ref="E104"/>
    <hyperlink r:id="rId186" ref="D105"/>
    <hyperlink r:id="rId187" ref="E105"/>
    <hyperlink r:id="rId188" ref="D106"/>
    <hyperlink r:id="rId189" ref="E106"/>
    <hyperlink r:id="rId190" ref="D107"/>
    <hyperlink r:id="rId191" ref="E107"/>
    <hyperlink r:id="rId192" ref="D108"/>
    <hyperlink r:id="rId193" ref="E108"/>
    <hyperlink r:id="rId194" ref="D109"/>
    <hyperlink r:id="rId195" ref="E109"/>
    <hyperlink r:id="rId196" ref="D110"/>
    <hyperlink r:id="rId197" ref="E110"/>
    <hyperlink r:id="rId198" ref="D111"/>
    <hyperlink r:id="rId199" ref="E111"/>
    <hyperlink r:id="rId200" ref="D112"/>
    <hyperlink r:id="rId201" ref="E112"/>
    <hyperlink r:id="rId202" ref="D113"/>
    <hyperlink r:id="rId203" ref="E113"/>
    <hyperlink r:id="rId204" ref="D114"/>
    <hyperlink r:id="rId205" ref="E114"/>
    <hyperlink r:id="rId206" ref="D115"/>
    <hyperlink r:id="rId207" ref="E115"/>
    <hyperlink r:id="rId208" ref="D116"/>
    <hyperlink r:id="rId209" ref="E116"/>
    <hyperlink r:id="rId210" ref="D117"/>
    <hyperlink r:id="rId211" ref="E117"/>
    <hyperlink r:id="rId212" ref="D118"/>
    <hyperlink r:id="rId213" ref="D119"/>
    <hyperlink r:id="rId214" ref="E119"/>
    <hyperlink r:id="rId215" ref="D120"/>
    <hyperlink r:id="rId216" ref="D121"/>
    <hyperlink r:id="rId217" ref="E121"/>
    <hyperlink r:id="rId218" ref="D122"/>
    <hyperlink r:id="rId219" ref="E122"/>
    <hyperlink r:id="rId220" ref="D123"/>
    <hyperlink r:id="rId221" ref="E123"/>
    <hyperlink r:id="rId222" ref="D124"/>
    <hyperlink r:id="rId223" ref="E124"/>
    <hyperlink r:id="rId224" ref="D125"/>
    <hyperlink r:id="rId225" ref="E125"/>
    <hyperlink r:id="rId226" ref="D126"/>
    <hyperlink r:id="rId227" ref="E126"/>
    <hyperlink r:id="rId228" ref="D127"/>
    <hyperlink r:id="rId229" ref="E127"/>
    <hyperlink r:id="rId230" ref="D128"/>
    <hyperlink r:id="rId231" ref="E128"/>
    <hyperlink r:id="rId232" ref="D129"/>
    <hyperlink r:id="rId233" ref="E129"/>
    <hyperlink r:id="rId234" ref="D130"/>
    <hyperlink r:id="rId235" ref="E130"/>
    <hyperlink r:id="rId236" ref="D131"/>
    <hyperlink r:id="rId237" ref="E131"/>
    <hyperlink r:id="rId238" ref="D132"/>
    <hyperlink r:id="rId239" ref="E132"/>
    <hyperlink r:id="rId240" ref="D133"/>
    <hyperlink r:id="rId241" ref="E133"/>
    <hyperlink r:id="rId242" ref="D134"/>
    <hyperlink r:id="rId243" ref="E134"/>
    <hyperlink r:id="rId244" ref="D135"/>
    <hyperlink r:id="rId245" ref="E135"/>
    <hyperlink r:id="rId246" ref="D136"/>
    <hyperlink r:id="rId247" ref="E136"/>
    <hyperlink r:id="rId248" ref="D137"/>
    <hyperlink r:id="rId249" ref="E137"/>
    <hyperlink r:id="rId250" ref="D138"/>
    <hyperlink r:id="rId251" ref="E138"/>
    <hyperlink r:id="rId252" ref="D139"/>
    <hyperlink r:id="rId253" ref="E139"/>
    <hyperlink r:id="rId254" ref="D140"/>
    <hyperlink r:id="rId255" ref="E140"/>
    <hyperlink r:id="rId256" ref="D141"/>
    <hyperlink r:id="rId257" ref="E141"/>
    <hyperlink r:id="rId258" ref="D142"/>
    <hyperlink r:id="rId259" ref="E142"/>
    <hyperlink r:id="rId260" ref="D143"/>
    <hyperlink r:id="rId261" ref="E143"/>
    <hyperlink r:id="rId262" ref="D144"/>
    <hyperlink r:id="rId263" ref="E144"/>
    <hyperlink r:id="rId264" ref="D145"/>
    <hyperlink r:id="rId265" ref="E145"/>
    <hyperlink r:id="rId266" ref="D146"/>
    <hyperlink r:id="rId267" ref="D147"/>
    <hyperlink r:id="rId268" ref="E147"/>
    <hyperlink r:id="rId269" ref="D148"/>
    <hyperlink r:id="rId270" ref="E148"/>
    <hyperlink r:id="rId271" ref="D149"/>
    <hyperlink r:id="rId272" ref="E149"/>
    <hyperlink r:id="rId273" ref="D150"/>
    <hyperlink r:id="rId274" ref="D151"/>
    <hyperlink r:id="rId275" ref="E151"/>
    <hyperlink r:id="rId276" ref="D152"/>
    <hyperlink r:id="rId277" ref="D153"/>
    <hyperlink r:id="rId278" ref="D154"/>
    <hyperlink r:id="rId279" ref="D155"/>
    <hyperlink r:id="rId280" ref="D156"/>
    <hyperlink r:id="rId281" ref="D157"/>
    <hyperlink r:id="rId282" ref="E157"/>
    <hyperlink r:id="rId283" ref="D158"/>
    <hyperlink r:id="rId284" ref="D159"/>
    <hyperlink r:id="rId285" ref="D160"/>
    <hyperlink r:id="rId286" ref="E160"/>
    <hyperlink r:id="rId287" ref="D161"/>
    <hyperlink r:id="rId288" ref="D162"/>
    <hyperlink r:id="rId289" ref="D163"/>
    <hyperlink r:id="rId290" ref="D164"/>
    <hyperlink r:id="rId291" ref="E164"/>
    <hyperlink r:id="rId292" ref="D165"/>
    <hyperlink r:id="rId293" ref="D166"/>
    <hyperlink r:id="rId294" ref="D167"/>
    <hyperlink r:id="rId295" ref="D168"/>
    <hyperlink r:id="rId296" ref="D169"/>
    <hyperlink r:id="rId297" ref="D170"/>
  </hyperlinks>
  <drawing r:id="rId29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tr">
        <f>IFERROR(__xludf.DUMMYFUNCTION("QUERY(Siron!A1:I1000,""select A, B, C, F ORDER BY B Asc "",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IFERROR(__xludf.DUMMYFUNCTION("""COMPUTED_VALUE"""),"T69")</f>
        <v>T69</v>
      </c>
      <c r="B2" s="22" t="str">
        <f>IFERROR(__xludf.DUMMYFUNCTION("""COMPUTED_VALUE"""),"16 tonna")</f>
        <v>16 tonna</v>
      </c>
      <c r="C2" s="22"/>
      <c r="D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3">
      <c r="A3" s="22" t="str">
        <f>IFERROR(__xludf.DUMMYFUNCTION("""COMPUTED_VALUE"""),"T62")</f>
        <v>T62</v>
      </c>
      <c r="B3" s="22" t="str">
        <f>IFERROR(__xludf.DUMMYFUNCTION("""COMPUTED_VALUE"""),"67-es út ")</f>
        <v>67-es út </v>
      </c>
      <c r="C3" s="22"/>
      <c r="D3"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4">
      <c r="A4" s="22" t="str">
        <f>IFERROR(__xludf.DUMMYFUNCTION("""COMPUTED_VALUE"""),"T02")</f>
        <v>T02</v>
      </c>
      <c r="B4" s="22" t="str">
        <f>IFERROR(__xludf.DUMMYFUNCTION("""COMPUTED_VALUE"""),"8 óra munka")</f>
        <v>8 óra munka</v>
      </c>
      <c r="C4" s="22"/>
      <c r="D4"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5">
      <c r="A5" s="22" t="str">
        <f>IFERROR(__xludf.DUMMYFUNCTION("""COMPUTED_VALUE"""),"T02")</f>
        <v>T02</v>
      </c>
      <c r="B5" s="22" t="str">
        <f>IFERROR(__xludf.DUMMYFUNCTION("""COMPUTED_VALUE"""),"8 óra munka")</f>
        <v>8 óra munka</v>
      </c>
      <c r="C5" s="22"/>
      <c r="D5" s="22"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6">
      <c r="A6" s="22" t="str">
        <f>IFERROR(__xludf.DUMMYFUNCTION("""COMPUTED_VALUE"""),"N01")</f>
        <v>N01</v>
      </c>
      <c r="B6" s="22" t="str">
        <f>IFERROR(__xludf.DUMMYFUNCTION("""COMPUTED_VALUE"""),"A bolhási kertek alatt Kata")</f>
        <v>A bolhási kertek alatt Kata</v>
      </c>
      <c r="C6" s="22"/>
      <c r="D6"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7">
      <c r="A7" s="22" t="str">
        <f>IFERROR(__xludf.DUMMYFUNCTION("""COMPUTED_VALUE"""),"T56")</f>
        <v>T56</v>
      </c>
      <c r="B7" s="22" t="str">
        <f>IFERROR(__xludf.DUMMYFUNCTION("""COMPUTED_VALUE"""),"A börtön ablakában")</f>
        <v>A börtön ablakában</v>
      </c>
      <c r="C7" s="22"/>
      <c r="D7"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8">
      <c r="A8" s="22" t="str">
        <f>IFERROR(__xludf.DUMMYFUNCTION("""COMPUTED_VALUE"""),"T29")</f>
        <v>T29</v>
      </c>
      <c r="B8" s="22" t="str">
        <f>IFERROR(__xludf.DUMMYFUNCTION("""COMPUTED_VALUE"""),"A keszthelyi kikötőben")</f>
        <v>A keszthelyi kikötőben</v>
      </c>
      <c r="C8" s="22"/>
      <c r="D8"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9">
      <c r="A9" s="22" t="str">
        <f>IFERROR(__xludf.DUMMYFUNCTION("""COMPUTED_VALUE"""),"T39")</f>
        <v>T39</v>
      </c>
      <c r="B9" s="22" t="str">
        <f>IFERROR(__xludf.DUMMYFUNCTION("""COMPUTED_VALUE"""),"A pancsoló kislány")</f>
        <v>A pancsoló kislány</v>
      </c>
      <c r="C9" s="22"/>
      <c r="D9" s="22"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"&amp;"  G
A strandon az is jó, hogy van még sok gyerek és van homokozó és labdázni lehet, 
     G             G       G7         C        C             G             A           D
Csak azt nem értem én, sok néni miért visít, ha véletlen egy labda épp egy bác"&amp;"sira ráesik
Ij jaj
G             G   G          D     D7          D    D          G
De apukámra is én azért ügyelek és mindig odavisz a lelkiismeret
    G         G       G7           C         C             G
Ha fekszik a napon és izzad már szeg"&amp;"ény, kis vödröm vízzel megtöltöm és
A                 D
rálocsolom mind én
Ij jaj
    G        G    G        D        D7           D    D         G
De este szomorú a hazafelé út, mert otthon az anyu a fürdőkádba dug,
    G                G   G"&amp;"7           C        C               G            
Már volt vele ezért már nagyon sok vitám, mert ki hallott még ilyen dolgot,
A                D
Fürdeni strand után ?
       G              C               D                  G                    
O"&amp;"tthon nem szeretem a strandot, 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10">
      <c r="A10" s="22" t="str">
        <f>IFERROR(__xludf.DUMMYFUNCTION("""COMPUTED_VALUE"""),"S07")</f>
        <v>S07</v>
      </c>
      <c r="B10" s="22" t="str">
        <f>IFERROR(__xludf.DUMMYFUNCTION("""COMPUTED_VALUE"""),"A partizánok dala")</f>
        <v>A partizánok dala</v>
      </c>
      <c r="C10" s="22"/>
      <c r="D10"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1">
      <c r="A11" s="22" t="str">
        <f>IFERROR(__xludf.DUMMYFUNCTION("""COMPUTED_VALUE"""),"N02")</f>
        <v>N02</v>
      </c>
      <c r="B11" s="22" t="str">
        <f>IFERROR(__xludf.DUMMYFUNCTION("""COMPUTED_VALUE"""),"A szennai lipisen, laposon")</f>
        <v>A szennai lipisen, laposon</v>
      </c>
      <c r="C11" s="22"/>
      <c r="D11"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2">
      <c r="A12" s="22" t="str">
        <f>IFERROR(__xludf.DUMMYFUNCTION("""COMPUTED_VALUE"""),"T03")</f>
        <v>T03</v>
      </c>
      <c r="B12" s="22" t="str">
        <f>IFERROR(__xludf.DUMMYFUNCTION("""COMPUTED_VALUE"""),"Adj helyet magad mellett")</f>
        <v>Adj helyet magad mellett</v>
      </c>
      <c r="C12" s="22" t="str">
        <f>IFERROR(__xludf.DUMMYFUNCTION("""COMPUTED_VALUE"""),"(1/2)")</f>
        <v>(1/2)</v>
      </c>
      <c r="D12" s="22"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v>
      </c>
    </row>
    <row r="13">
      <c r="A13" s="22" t="str">
        <f>IFERROR(__xludf.DUMMYFUNCTION("""COMPUTED_VALUE"""),"T03")</f>
        <v>T03</v>
      </c>
      <c r="B13" s="22" t="str">
        <f>IFERROR(__xludf.DUMMYFUNCTION("""COMPUTED_VALUE"""),"Adj helyet magad mellett")</f>
        <v>Adj helyet magad mellett</v>
      </c>
      <c r="C13" s="22" t="str">
        <f>IFERROR(__xludf.DUMMYFUNCTION("""COMPUTED_VALUE"""),"(2/2)")</f>
        <v>(2/2)</v>
      </c>
      <c r="D13" s="22" t="str">
        <f>IFERROR(__xludf.DUMMYFUNCTION("""COMPUTED_VALUE"""),"C                    G
Mint kínomban a színpadon,
      E7                   Am
Fejem a lábam közt, ülök a nyakamon
C               G
Homokkal teli a szám
         E7            Am
Szép vagyok, mosolygok rám
Am D  Dm Am
C  G  E7 Am
Am                 "&amp;" D
Adj helyet magad mellett
 Dm                     Am
Az ablakhoz én is odaférjek
 C                       G
Meztelen válladhoz érjen a vállam
E7                Am
Engedd, hogy megkívánjam
C               G
Engedd, hogy érezzem,
       E7            Am"&amp;"
Hogy szabadabban lélegzem
      C                 G
És ha éhes vagyok és fáradt
      E7                Am
Magamfajta többet mit kívánhat")</f>
        <v>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14">
      <c r="A14" s="22" t="str">
        <f>IFERROR(__xludf.DUMMYFUNCTION("""COMPUTED_VALUE"""),"T30")</f>
        <v>T30</v>
      </c>
      <c r="B14" s="22" t="str">
        <f>IFERROR(__xludf.DUMMYFUNCTION("""COMPUTED_VALUE"""),"Afrika")</f>
        <v>Afrika</v>
      </c>
      <c r="C14" s="22"/>
      <c r="D14"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5">
      <c r="A15" s="22" t="str">
        <f>IFERROR(__xludf.DUMMYFUNCTION("""COMPUTED_VALUE"""),"T58")</f>
        <v>T58</v>
      </c>
      <c r="B15" s="22" t="str">
        <f>IFERROR(__xludf.DUMMYFUNCTION("""COMPUTED_VALUE"""),"Ajjajjaj ")</f>
        <v>Ajjajjaj </v>
      </c>
      <c r="C15" s="22"/>
      <c r="D15"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16">
      <c r="A16" s="22" t="str">
        <f>IFERROR(__xludf.DUMMYFUNCTION("""COMPUTED_VALUE"""),"T76")</f>
        <v>T76</v>
      </c>
      <c r="B16" s="22" t="str">
        <f>IFERROR(__xludf.DUMMYFUNCTION("""COMPUTED_VALUE"""),"Amikor elmentél tőlem")</f>
        <v>Amikor elmentél tőlem</v>
      </c>
      <c r="C16" s="22"/>
      <c r="D16"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7">
      <c r="A17" s="22" t="str">
        <f>IFERROR(__xludf.DUMMYFUNCTION("""COMPUTED_VALUE"""),"T77")</f>
        <v>T77</v>
      </c>
      <c r="B17" s="22" t="str">
        <f>IFERROR(__xludf.DUMMYFUNCTION("""COMPUTED_VALUE"""),"Apám hitte")</f>
        <v>Apám hitte</v>
      </c>
      <c r="C17" s="22" t="str">
        <f>IFERROR(__xludf.DUMMYFUNCTION("""COMPUTED_VALUE"""),"(1/2)")</f>
        <v>(1/2)</v>
      </c>
      <c r="D17"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18">
      <c r="A18" s="22" t="str">
        <f>IFERROR(__xludf.DUMMYFUNCTION("""COMPUTED_VALUE"""),"T77")</f>
        <v>T77</v>
      </c>
      <c r="B18" s="22" t="str">
        <f>IFERROR(__xludf.DUMMYFUNCTION("""COMPUTED_VALUE"""),"Apám hitte")</f>
        <v>Apám hitte</v>
      </c>
      <c r="C18" s="22" t="str">
        <f>IFERROR(__xludf.DUMMYFUNCTION("""COMPUTED_VALUE"""),"(2/2)")</f>
        <v>(2/2)</v>
      </c>
      <c r="D18" s="22" t="str">
        <f>IFERROR(__xludf.DUMMYFUNCTION("""COMPUTED_VALUE"""),"   G               C         Am
Tü rü-rü-rü-rü rü-rü-rü-rü-rü
       Dm7    E7       Am
Azt hiszem ez így van jól.
          C                         E7    Am
Na na-na-na na-na-na-na-na-na na na na-na-na
          C                         E7     Am
Na"&amp;" na-na-na na-na-na-na-na-na na na na-na-na.....
                              C
Én is hiszek egy-két szép dologban,
                   E7      Am
Hiszek a dalban, a dalban, a dalban.
Am                      C
És én hiszek a város zajában,
              "&amp;"E7        Am
És én hiszek benne, s magamban.
                          C
És én hiszek a mikrobarázdában,
                E7      Am
És én hiszek a táguló világban.
                      C
És én hiszek a lézersugárban,
                 E         Am
És én h"&amp;"iszek az ezredfordulóban.
                         C
És én hiszek a kvadrofóniában,
               E7           Am
És én hiszek a fegyver halálában.
                             C
És én hiszek a folyóban s a hídban,
             E7              Am
És én h"&amp;"iszek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9">
      <c r="A19" s="22" t="str">
        <f>IFERROR(__xludf.DUMMYFUNCTION("""COMPUTED_VALUE"""),"K10")</f>
        <v>K10</v>
      </c>
      <c r="B19" s="22" t="str">
        <f>IFERROR(__xludf.DUMMYFUNCTION("""COMPUTED_VALUE"""),"As tears go by")</f>
        <v>As tears go by</v>
      </c>
      <c r="C19" s="22"/>
      <c r="D19"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20">
      <c r="A20" s="22" t="str">
        <f>IFERROR(__xludf.DUMMYFUNCTION("""COMPUTED_VALUE"""),"T59")</f>
        <v>T59</v>
      </c>
      <c r="B20" s="22" t="str">
        <f>IFERROR(__xludf.DUMMYFUNCTION("""COMPUTED_VALUE"""),"Autó egy szerpentinen ")</f>
        <v>Autó egy szerpentinen </v>
      </c>
      <c r="C20" s="22"/>
      <c r="D20"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21">
      <c r="A21" s="22" t="str">
        <f>IFERROR(__xludf.DUMMYFUNCTION("""COMPUTED_VALUE"""),"T10")</f>
        <v>T10</v>
      </c>
      <c r="B21" s="22" t="str">
        <f>IFERROR(__xludf.DUMMYFUNCTION("""COMPUTED_VALUE"""),"Az légy aki vagy")</f>
        <v>Az légy aki vagy</v>
      </c>
      <c r="C21" s="22"/>
      <c r="D21"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22">
      <c r="A22" s="22" t="str">
        <f>IFERROR(__xludf.DUMMYFUNCTION("""COMPUTED_VALUE"""),"T21")</f>
        <v>T21</v>
      </c>
      <c r="B22" s="22" t="str">
        <f>IFERROR(__xludf.DUMMYFUNCTION("""COMPUTED_VALUE"""),"Az utcán")</f>
        <v>Az utcán</v>
      </c>
      <c r="C22" s="22"/>
      <c r="D22"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23">
      <c r="A23" s="22" t="str">
        <f>IFERROR(__xludf.DUMMYFUNCTION("""COMPUTED_VALUE"""),"T26")</f>
        <v>T26</v>
      </c>
      <c r="B23" s="22" t="str">
        <f>IFERROR(__xludf.DUMMYFUNCTION("""COMPUTED_VALUE"""),"Az éjszaka")</f>
        <v>Az éjszaka</v>
      </c>
      <c r="C23" s="22"/>
      <c r="D23"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24">
      <c r="A24" s="22" t="str">
        <f>IFERROR(__xludf.DUMMYFUNCTION("""COMPUTED_VALUE"""),"T01")</f>
        <v>T01</v>
      </c>
      <c r="B24" s="22" t="str">
        <f>IFERROR(__xludf.DUMMYFUNCTION("""COMPUTED_VALUE"""),"Azt hittem érdemes")</f>
        <v>Azt hittem érdemes</v>
      </c>
      <c r="C24" s="22" t="str">
        <f>IFERROR(__xludf.DUMMYFUNCTION("""COMPUTED_VALUE"""),"(1/2)")</f>
        <v>(1/2)</v>
      </c>
      <c r="D24"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25">
      <c r="A25" s="22" t="str">
        <f>IFERROR(__xludf.DUMMYFUNCTION("""COMPUTED_VALUE"""),"T01")</f>
        <v>T01</v>
      </c>
      <c r="B25" s="22" t="str">
        <f>IFERROR(__xludf.DUMMYFUNCTION("""COMPUTED_VALUE"""),"Azt hittem érdemes")</f>
        <v>Azt hittem érdemes</v>
      </c>
      <c r="C25" s="22" t="str">
        <f>IFERROR(__xludf.DUMMYFUNCTION("""COMPUTED_VALUE"""),"(2/2)")</f>
        <v>(2/2)</v>
      </c>
      <c r="D25"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26">
      <c r="A26" s="22" t="str">
        <f>IFERROR(__xludf.DUMMYFUNCTION("""COMPUTED_VALUE"""),"T47")</f>
        <v>T47</v>
      </c>
      <c r="B26" s="22" t="str">
        <f>IFERROR(__xludf.DUMMYFUNCTION("""COMPUTED_VALUE"""),"Azért vannak a jó barátok")</f>
        <v>Azért vannak a jó barátok</v>
      </c>
      <c r="C26" s="22"/>
      <c r="D26"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27">
      <c r="A27" s="22" t="str">
        <f>IFERROR(__xludf.DUMMYFUNCTION("""COMPUTED_VALUE"""),"T22")</f>
        <v>T22</v>
      </c>
      <c r="B27" s="22" t="str">
        <f>IFERROR(__xludf.DUMMYFUNCTION("""COMPUTED_VALUE"""),"Baj van a részeg tengerésszel")</f>
        <v>Baj van a részeg tengerésszel</v>
      </c>
      <c r="C27" s="22"/>
      <c r="D27"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28">
      <c r="A28" s="22" t="str">
        <f>IFERROR(__xludf.DUMMYFUNCTION("""COMPUTED_VALUE"""),"T32")</f>
        <v>T32</v>
      </c>
      <c r="B28" s="22" t="str">
        <f>IFERROR(__xludf.DUMMYFUNCTION("""COMPUTED_VALUE"""),"Balatoni nyár ")</f>
        <v>Balatoni nyár </v>
      </c>
      <c r="C28" s="22"/>
      <c r="D28"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29">
      <c r="A29" s="22" t="str">
        <f>IFERROR(__xludf.DUMMYFUNCTION("""COMPUTED_VALUE"""),"K09")</f>
        <v>K09</v>
      </c>
      <c r="B29" s="22" t="str">
        <f>IFERROR(__xludf.DUMMYFUNCTION("""COMPUTED_VALUE"""),"Banks of the Ohio")</f>
        <v>Banks of the Ohio</v>
      </c>
      <c r="C29" s="22"/>
      <c r="D29"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30">
      <c r="A30" s="22" t="str">
        <f>IFERROR(__xludf.DUMMYFUNCTION("""COMPUTED_VALUE"""),"K08")</f>
        <v>K08</v>
      </c>
      <c r="B30" s="22" t="str">
        <f>IFERROR(__xludf.DUMMYFUNCTION("""COMPUTED_VALUE"""),"Bella ciao")</f>
        <v>Bella ciao</v>
      </c>
      <c r="C30" s="22"/>
      <c r="D30"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1">
      <c r="A31" s="22" t="str">
        <f>IFERROR(__xludf.DUMMYFUNCTION("""COMPUTED_VALUE"""),"T53")</f>
        <v>T53</v>
      </c>
      <c r="B31" s="22" t="str">
        <f>IFERROR(__xludf.DUMMYFUNCTION("""COMPUTED_VALUE"""),"Bella ciao")</f>
        <v>Bella ciao</v>
      </c>
      <c r="C31" s="22" t="str">
        <f>IFERROR(__xludf.DUMMYFUNCTION("""COMPUTED_VALUE"""),"(1/2)")</f>
        <v>(1/2)</v>
      </c>
      <c r="D31"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v>
      </c>
    </row>
    <row r="32">
      <c r="A32" s="22" t="str">
        <f>IFERROR(__xludf.DUMMYFUNCTION("""COMPUTED_VALUE"""),"T53")</f>
        <v>T53</v>
      </c>
      <c r="B32" s="22" t="str">
        <f>IFERROR(__xludf.DUMMYFUNCTION("""COMPUTED_VALUE"""),"Bella ciao")</f>
        <v>Bella ciao</v>
      </c>
      <c r="C32" s="22" t="str">
        <f>IFERROR(__xludf.DUMMYFUNCTION("""COMPUTED_VALUE"""),"(2/2)")</f>
        <v>(2/2)</v>
      </c>
      <c r="D32" s="22" t="str">
        <f>IFERROR(__xludf.DUMMYFUNCTION("""COMPUTED_VALUE"""),"Dm     
A hegyvidéken temess el engem,
         F                      A7          
Ó bella ciao, bella ciao, bella ciao, ciao, ciao,
   C7          F  
A hegyvidéken temess el engem,
        A7      Dm
Legyen virág a síromon.
Dm     
Az ő virága, a part"&amp;"izáné,
         F                      A7          
Ó bella ciao, bella ciao, bella ciao, ciao, ciao,
   C7          F  
Az ő virága, a partizáné,
        A7         Dm
Ki a szabadságért halt meg.")</f>
        <v>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33">
      <c r="A33" s="22" t="str">
        <f>IFERROR(__xludf.DUMMYFUNCTION("""COMPUTED_VALUE"""),"T12")</f>
        <v>T12</v>
      </c>
      <c r="B33" s="22" t="str">
        <f>IFERROR(__xludf.DUMMYFUNCTION("""COMPUTED_VALUE"""),"Budapest")</f>
        <v>Budapest</v>
      </c>
      <c r="C33" s="22" t="str">
        <f>IFERROR(__xludf.DUMMYFUNCTION("""COMPUTED_VALUE"""),"(1/2)")</f>
        <v>(1/2)</v>
      </c>
      <c r="D33"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34">
      <c r="A34" s="22" t="str">
        <f>IFERROR(__xludf.DUMMYFUNCTION("""COMPUTED_VALUE"""),"T12")</f>
        <v>T12</v>
      </c>
      <c r="B34" s="22" t="str">
        <f>IFERROR(__xludf.DUMMYFUNCTION("""COMPUTED_VALUE"""),"Budapest")</f>
        <v>Budapest</v>
      </c>
      <c r="C34" s="22" t="str">
        <f>IFERROR(__xludf.DUMMYFUNCTION("""COMPUTED_VALUE"""),"(2/2)")</f>
        <v>(2/2)</v>
      </c>
      <c r="D34"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35">
      <c r="A35" s="22" t="str">
        <f>IFERROR(__xludf.DUMMYFUNCTION("""COMPUTED_VALUE"""),"T71")</f>
        <v>T71</v>
      </c>
      <c r="B35" s="22" t="str">
        <f>IFERROR(__xludf.DUMMYFUNCTION("""COMPUTED_VALUE"""),"Bájoló")</f>
        <v>Bájoló</v>
      </c>
      <c r="C35" s="22"/>
      <c r="D35"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36">
      <c r="A36" s="22" t="str">
        <f>IFERROR(__xludf.DUMMYFUNCTION("""COMPUTED_VALUE"""),"T31")</f>
        <v>T31</v>
      </c>
      <c r="B36" s="22" t="str">
        <f>IFERROR(__xludf.DUMMYFUNCTION("""COMPUTED_VALUE"""),"Bál az Operában")</f>
        <v>Bál az Operában</v>
      </c>
      <c r="C36" s="22" t="str">
        <f>IFERROR(__xludf.DUMMYFUNCTION("""COMPUTED_VALUE"""),"(1/2)")</f>
        <v>(1/2)</v>
      </c>
      <c r="D36"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37">
      <c r="A37" s="22" t="str">
        <f>IFERROR(__xludf.DUMMYFUNCTION("""COMPUTED_VALUE"""),"T31")</f>
        <v>T31</v>
      </c>
      <c r="B37" s="22" t="str">
        <f>IFERROR(__xludf.DUMMYFUNCTION("""COMPUTED_VALUE"""),"Bál az Operában")</f>
        <v>Bál az Operában</v>
      </c>
      <c r="C37" s="22" t="str">
        <f>IFERROR(__xludf.DUMMYFUNCTION("""COMPUTED_VALUE"""),"(2/2)")</f>
        <v>(2/2)</v>
      </c>
      <c r="D37" s="22"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38">
      <c r="A38" s="22" t="str">
        <f>IFERROR(__xludf.DUMMYFUNCTION("""COMPUTED_VALUE"""),"H04")</f>
        <v>H04</v>
      </c>
      <c r="B38" s="22" t="str">
        <f>IFERROR(__xludf.DUMMYFUNCTION("""COMPUTED_VALUE"""),"Básáná hábáá")</f>
        <v>Básáná hábáá</v>
      </c>
      <c r="C38" s="22" t="str">
        <f>IFERROR(__xludf.DUMMYFUNCTION("""COMPUTED_VALUE"""),"בשנה הבאה")</f>
        <v>בשנה הבאה</v>
      </c>
      <c r="D38"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39">
      <c r="A39" s="22" t="str">
        <f>IFERROR(__xludf.DUMMYFUNCTION("""COMPUTED_VALUE"""),"H05")</f>
        <v>H05</v>
      </c>
      <c r="B39" s="22" t="str">
        <f>IFERROR(__xludf.DUMMYFUNCTION("""COMPUTED_VALUE"""),"Bói")</f>
        <v>Bói</v>
      </c>
      <c r="C39" s="22" t="str">
        <f>IFERROR(__xludf.DUMMYFUNCTION("""COMPUTED_VALUE"""),"בואי")</f>
        <v>בואי</v>
      </c>
      <c r="D39"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40">
      <c r="A40" s="22" t="str">
        <f>IFERROR(__xludf.DUMMYFUNCTION("""COMPUTED_VALUE"""),"S04")</f>
        <v>S04</v>
      </c>
      <c r="B40" s="22" t="str">
        <f>IFERROR(__xludf.DUMMYFUNCTION("""COMPUTED_VALUE"""),"Cofi himnusz")</f>
        <v>Cofi himnusz</v>
      </c>
      <c r="C40" s="22"/>
      <c r="D40"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41">
      <c r="A41" s="22" t="str">
        <f>IFERROR(__xludf.DUMMYFUNCTION("""COMPUTED_VALUE"""),"T05")</f>
        <v>T05</v>
      </c>
      <c r="B41" s="22" t="str">
        <f>IFERROR(__xludf.DUMMYFUNCTION("""COMPUTED_VALUE"""),"Csavargódal")</f>
        <v>Csavargódal</v>
      </c>
      <c r="C41" s="22"/>
      <c r="D41"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42">
      <c r="A42" s="22" t="str">
        <f>IFERROR(__xludf.DUMMYFUNCTION("""COMPUTED_VALUE"""),"S05")</f>
        <v>S05</v>
      </c>
      <c r="B42" s="22" t="str">
        <f>IFERROR(__xludf.DUMMYFUNCTION("""COMPUTED_VALUE"""),"Cserkész Altató")</f>
        <v>Cserkész Altató</v>
      </c>
      <c r="C42" s="22"/>
      <c r="D42"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43">
      <c r="A43" s="22" t="str">
        <f>IFERROR(__xludf.DUMMYFUNCTION("""COMPUTED_VALUE"""),"T36")</f>
        <v>T36</v>
      </c>
      <c r="B43" s="22" t="str">
        <f>IFERROR(__xludf.DUMMYFUNCTION("""COMPUTED_VALUE"""),"Csillag vagy fecske")</f>
        <v>Csillag vagy fecske</v>
      </c>
      <c r="C43" s="22"/>
      <c r="D43"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44">
      <c r="A44" s="22" t="str">
        <f>IFERROR(__xludf.DUMMYFUNCTION("""COMPUTED_VALUE"""),"ZS23")</f>
        <v>ZS23</v>
      </c>
      <c r="B44" s="22" t="str">
        <f>IFERROR(__xludf.DUMMYFUNCTION("""COMPUTED_VALUE"""),"Csiribiri")</f>
        <v>Csiribiri</v>
      </c>
      <c r="C44" s="22"/>
      <c r="D44" s="22"/>
    </row>
    <row r="45">
      <c r="A45" s="22" t="str">
        <f>IFERROR(__xludf.DUMMYFUNCTION("""COMPUTED_VALUE"""),"T28")</f>
        <v>T28</v>
      </c>
      <c r="B45" s="22" t="str">
        <f>IFERROR(__xludf.DUMMYFUNCTION("""COMPUTED_VALUE"""),"Csonka vers")</f>
        <v>Csonka vers</v>
      </c>
      <c r="C45" s="22"/>
      <c r="D45"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46">
      <c r="A46" s="22" t="str">
        <f>IFERROR(__xludf.DUMMYFUNCTION("""COMPUTED_VALUE"""),"T13")</f>
        <v>T13</v>
      </c>
      <c r="B46" s="22" t="str">
        <f>IFERROR(__xludf.DUMMYFUNCTION("""COMPUTED_VALUE"""),"Csönded vagyok")</f>
        <v>Csönded vagyok</v>
      </c>
      <c r="C46" s="22"/>
      <c r="D46"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47">
      <c r="A47" s="22" t="str">
        <f>IFERROR(__xludf.DUMMYFUNCTION("""COMPUTED_VALUE"""),"T50")</f>
        <v>T50</v>
      </c>
      <c r="B47" s="22" t="str">
        <f>IFERROR(__xludf.DUMMYFUNCTION("""COMPUTED_VALUE"""),"Csúzli dal")</f>
        <v>Csúzli dal</v>
      </c>
      <c r="C47" s="22" t="str">
        <f>IFERROR(__xludf.DUMMYFUNCTION("""COMPUTED_VALUE"""),"(1/2)")</f>
        <v>(1/2)</v>
      </c>
      <c r="D47"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48">
      <c r="A48" s="22" t="str">
        <f>IFERROR(__xludf.DUMMYFUNCTION("""COMPUTED_VALUE"""),"T50")</f>
        <v>T50</v>
      </c>
      <c r="B48" s="22" t="str">
        <f>IFERROR(__xludf.DUMMYFUNCTION("""COMPUTED_VALUE"""),"Csúzli dal")</f>
        <v>Csúzli dal</v>
      </c>
      <c r="C48" s="22" t="str">
        <f>IFERROR(__xludf.DUMMYFUNCTION("""COMPUTED_VALUE"""),"(2/2)")</f>
        <v>(2/2)</v>
      </c>
      <c r="D48"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49">
      <c r="A49" s="22" t="str">
        <f>IFERROR(__xludf.DUMMYFUNCTION("""COMPUTED_VALUE"""),"K06")</f>
        <v>K06</v>
      </c>
      <c r="B49" s="22" t="str">
        <f>IFERROR(__xludf.DUMMYFUNCTION("""COMPUTED_VALUE"""),"Drunken sailor")</f>
        <v>Drunken sailor</v>
      </c>
      <c r="C49" s="22"/>
      <c r="D49"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50">
      <c r="A50" s="22" t="str">
        <f>IFERROR(__xludf.DUMMYFUNCTION("""COMPUTED_VALUE"""),"H13")</f>
        <v>H13</v>
      </c>
      <c r="B50" s="22" t="str">
        <f>IFERROR(__xludf.DUMMYFUNCTION("""COMPUTED_VALUE"""),"Dávid meleh Jiszrael")</f>
        <v>Dávid meleh Jiszrael</v>
      </c>
      <c r="C50" s="22" t="str">
        <f>IFERROR(__xludf.DUMMYFUNCTION("""COMPUTED_VALUE"""),"דוד מלך ישראל")</f>
        <v>דוד מלך ישראל</v>
      </c>
      <c r="D50" s="22" t="str">
        <f>IFERROR(__xludf.DUMMYFUNCTION("""COMPUTED_VALUE"""),"C
Dávid meleḥ Jiszráel,
C
ḥáj, ḥáj vekájám.
F
Dávid meleḥ Jiszráel,
C
ḥáj, ḥáj vekájám.")</f>
        <v>C
Dávid meleḥ Jiszráel,
C
ḥáj, ḥáj vekájám.
F
Dávid meleḥ Jiszráel,
C
ḥáj, ḥáj vekájám.</v>
      </c>
    </row>
    <row r="51">
      <c r="A51" s="22" t="str">
        <f>IFERROR(__xludf.DUMMYFUNCTION("""COMPUTED_VALUE"""),"T48")</f>
        <v>T48</v>
      </c>
      <c r="B51" s="22" t="str">
        <f>IFERROR(__xludf.DUMMYFUNCTION("""COMPUTED_VALUE"""),"Egyszer véget ér ")</f>
        <v>Egyszer véget ér </v>
      </c>
      <c r="C51" s="22"/>
      <c r="D51"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52">
      <c r="A52" s="22" t="str">
        <f>IFERROR(__xludf.DUMMYFUNCTION("""COMPUTED_VALUE"""),"T72")</f>
        <v>T72</v>
      </c>
      <c r="B52" s="22" t="str">
        <f>IFERROR(__xludf.DUMMYFUNCTION("""COMPUTED_VALUE"""),"Egyszerű dal")</f>
        <v>Egyszerű dal</v>
      </c>
      <c r="C52" s="22"/>
      <c r="D52"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53">
      <c r="A53" s="22" t="str">
        <f>IFERROR(__xludf.DUMMYFUNCTION("""COMPUTED_VALUE"""),"ZS07")</f>
        <v>ZS07</v>
      </c>
      <c r="B53" s="22" t="str">
        <f>IFERROR(__xludf.DUMMYFUNCTION("""COMPUTED_VALUE"""),"Ehad mi jodeá")</f>
        <v>Ehad mi jodeá</v>
      </c>
      <c r="C53" s="22" t="str">
        <f>IFERROR(__xludf.DUMMYFUNCTION("""COMPUTED_VALUE"""),"אחד מי יודע")</f>
        <v>אחד מי יודע</v>
      </c>
      <c r="D53"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54">
      <c r="A54" s="22" t="str">
        <f>IFERROR(__xludf.DUMMYFUNCTION("""COMPUTED_VALUE"""),"ZS12")</f>
        <v>ZS12</v>
      </c>
      <c r="B54" s="22" t="str">
        <f>IFERROR(__xludf.DUMMYFUNCTION("""COMPUTED_VALUE"""),"Eliyahu Hanavi")</f>
        <v>Eliyahu Hanavi</v>
      </c>
      <c r="C54" s="22" t="str">
        <f>IFERROR(__xludf.DUMMYFUNCTION("""COMPUTED_VALUE"""),"אליהו הנביא")</f>
        <v>אליהו הנביא</v>
      </c>
      <c r="D54"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5">
      <c r="A55" s="22" t="str">
        <f>IFERROR(__xludf.DUMMYFUNCTION("""COMPUTED_VALUE"""),"T33")</f>
        <v>T33</v>
      </c>
      <c r="B55" s="22" t="str">
        <f>IFERROR(__xludf.DUMMYFUNCTION("""COMPUTED_VALUE"""),"Elizabeth ")</f>
        <v>Elizabeth </v>
      </c>
      <c r="C55" s="22"/>
      <c r="D55"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56">
      <c r="A56" s="22" t="str">
        <f>IFERROR(__xludf.DUMMYFUNCTION("""COMPUTED_VALUE"""),"T25")</f>
        <v>T25</v>
      </c>
      <c r="B56" s="22" t="str">
        <f>IFERROR(__xludf.DUMMYFUNCTION("""COMPUTED_VALUE"""),"Embersólyom")</f>
        <v>Embersólyom</v>
      </c>
      <c r="C56" s="22"/>
      <c r="D56"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57">
      <c r="A57" s="22" t="str">
        <f>IFERROR(__xludf.DUMMYFUNCTION("""COMPUTED_VALUE"""),"T63")</f>
        <v>T63</v>
      </c>
      <c r="B57" s="22" t="str">
        <f>IFERROR(__xludf.DUMMYFUNCTION("""COMPUTED_VALUE"""),"Erdő közepében ")</f>
        <v>Erdő közepében </v>
      </c>
      <c r="C57" s="22"/>
      <c r="D57"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58">
      <c r="A58" s="22" t="str">
        <f>IFERROR(__xludf.DUMMYFUNCTION("""COMPUTED_VALUE"""),"N04")</f>
        <v>N04</v>
      </c>
      <c r="B58" s="22" t="str">
        <f>IFERROR(__xludf.DUMMYFUNCTION("""COMPUTED_VALUE"""),"Erdő, erdő, erdő")</f>
        <v>Erdő, erdő, erdő</v>
      </c>
      <c r="C58" s="22"/>
      <c r="D58"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59">
      <c r="A59" s="22" t="str">
        <f>IFERROR(__xludf.DUMMYFUNCTION("""COMPUTED_VALUE"""),"T75")</f>
        <v>T75</v>
      </c>
      <c r="B59" s="22" t="str">
        <f>IFERROR(__xludf.DUMMYFUNCTION("""COMPUTED_VALUE"""),"Európa ")</f>
        <v>Európa </v>
      </c>
      <c r="C59" s="22"/>
      <c r="D59"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60">
      <c r="A60" s="22" t="str">
        <f>IFERROR(__xludf.DUMMYFUNCTION("""COMPUTED_VALUE"""),"T35")</f>
        <v>T35</v>
      </c>
      <c r="B60" s="22" t="str">
        <f>IFERROR(__xludf.DUMMYFUNCTION("""COMPUTED_VALUE"""),"Ezt is elviszem magammal")</f>
        <v>Ezt is elviszem magammal</v>
      </c>
      <c r="C60" s="22" t="str">
        <f>IFERROR(__xludf.DUMMYFUNCTION("""COMPUTED_VALUE"""),"(1/2)")</f>
        <v>(1/2)</v>
      </c>
      <c r="D60"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1">
      <c r="A61" s="22" t="str">
        <f>IFERROR(__xludf.DUMMYFUNCTION("""COMPUTED_VALUE"""),"T35")</f>
        <v>T35</v>
      </c>
      <c r="B61" s="22" t="str">
        <f>IFERROR(__xludf.DUMMYFUNCTION("""COMPUTED_VALUE"""),"Ezt is elviszem magammal")</f>
        <v>Ezt is elviszem magammal</v>
      </c>
      <c r="C61" s="22" t="str">
        <f>IFERROR(__xludf.DUMMYFUNCTION("""COMPUTED_VALUE"""),"(2/2)")</f>
        <v>(2/2)</v>
      </c>
      <c r="D61" s="22"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2">
      <c r="A62" s="22" t="str">
        <f>IFERROR(__xludf.DUMMYFUNCTION("""COMPUTED_VALUE"""),"T64")</f>
        <v>T64</v>
      </c>
      <c r="B62" s="22" t="str">
        <f>IFERROR(__xludf.DUMMYFUNCTION("""COMPUTED_VALUE"""),"Fáj a szívem érted")</f>
        <v>Fáj a szívem érted</v>
      </c>
      <c r="C62" s="22"/>
      <c r="D62"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63">
      <c r="A63" s="22" t="str">
        <f>IFERROR(__xludf.DUMMYFUNCTION("""COMPUTED_VALUE"""),"T37")</f>
        <v>T37</v>
      </c>
      <c r="B63" s="22" t="str">
        <f>IFERROR(__xludf.DUMMYFUNCTION("""COMPUTED_VALUE"""),"Ha az életben ")</f>
        <v>Ha az életben </v>
      </c>
      <c r="C63" s="22"/>
      <c r="D63"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64">
      <c r="A64" s="22" t="str">
        <f>IFERROR(__xludf.DUMMYFUNCTION("""COMPUTED_VALUE"""),"T65")</f>
        <v>T65</v>
      </c>
      <c r="B64" s="22" t="str">
        <f>IFERROR(__xludf.DUMMYFUNCTION("""COMPUTED_VALUE"""),"Ha itt lennél velem")</f>
        <v>Ha itt lennél velem</v>
      </c>
      <c r="C64" s="22" t="str">
        <f>IFERROR(__xludf.DUMMYFUNCTION("""COMPUTED_VALUE"""),"(1/2)")</f>
        <v>(1/2)</v>
      </c>
      <c r="D64" s="22"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65">
      <c r="A65" s="22" t="str">
        <f>IFERROR(__xludf.DUMMYFUNCTION("""COMPUTED_VALUE"""),"T65")</f>
        <v>T65</v>
      </c>
      <c r="B65" s="22" t="str">
        <f>IFERROR(__xludf.DUMMYFUNCTION("""COMPUTED_VALUE"""),"Ha itt lennél velem")</f>
        <v>Ha itt lennél velem</v>
      </c>
      <c r="C65" s="22" t="str">
        <f>IFERROR(__xludf.DUMMYFUNCTION("""COMPUTED_VALUE"""),"(2/2)")</f>
        <v>(2/2)</v>
      </c>
      <c r="D65" s="22"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66">
      <c r="A66" s="22" t="str">
        <f>IFERROR(__xludf.DUMMYFUNCTION("""COMPUTED_VALUE"""),"T07")</f>
        <v>T07</v>
      </c>
      <c r="B66" s="22" t="str">
        <f>IFERROR(__xludf.DUMMYFUNCTION("""COMPUTED_VALUE"""),"Ha én rózsa volnék")</f>
        <v>Ha én rózsa volnék</v>
      </c>
      <c r="C66" s="22"/>
      <c r="D66"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7">
      <c r="A67" s="22" t="str">
        <f>IFERROR(__xludf.DUMMYFUNCTION("""COMPUTED_VALUE"""),"T17")</f>
        <v>T17</v>
      </c>
      <c r="B67" s="22" t="str">
        <f>IFERROR(__xludf.DUMMYFUNCTION("""COMPUTED_VALUE"""),"Hajnali ének")</f>
        <v>Hajnali ének</v>
      </c>
      <c r="C67" s="22"/>
      <c r="D67" s="22"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68">
      <c r="A68" s="22" t="str">
        <f>IFERROR(__xludf.DUMMYFUNCTION("""COMPUTED_VALUE"""),"H10")</f>
        <v>H10</v>
      </c>
      <c r="B68" s="22" t="str">
        <f>IFERROR(__xludf.DUMMYFUNCTION("""COMPUTED_VALUE"""),"Hajom jom huledet")</f>
        <v>Hajom jom huledet</v>
      </c>
      <c r="C68" s="22" t="str">
        <f>IFERROR(__xludf.DUMMYFUNCTION("""COMPUTED_VALUE"""),"היום יום הולדת")</f>
        <v>היום יום הולדת</v>
      </c>
      <c r="D68"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69">
      <c r="A69" s="22" t="str">
        <f>IFERROR(__xludf.DUMMYFUNCTION("""COMPUTED_VALUE"""),"T42")</f>
        <v>T42</v>
      </c>
      <c r="B69" s="22" t="str">
        <f>IFERROR(__xludf.DUMMYFUNCTION("""COMPUTED_VALUE"""),"Hallelujah")</f>
        <v>Hallelujah</v>
      </c>
      <c r="C69" s="22" t="str">
        <f>IFERROR(__xludf.DUMMYFUNCTION("""COMPUTED_VALUE"""),"(1/2)")</f>
        <v>(1/2)</v>
      </c>
      <c r="D69"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70">
      <c r="A70" s="22" t="str">
        <f>IFERROR(__xludf.DUMMYFUNCTION("""COMPUTED_VALUE"""),"T42")</f>
        <v>T42</v>
      </c>
      <c r="B70" s="22" t="str">
        <f>IFERROR(__xludf.DUMMYFUNCTION("""COMPUTED_VALUE"""),"Hallelujah")</f>
        <v>Hallelujah</v>
      </c>
      <c r="C70" s="22" t="str">
        <f>IFERROR(__xludf.DUMMYFUNCTION("""COMPUTED_VALUE"""),"(2/2)")</f>
        <v>(2/2)</v>
      </c>
      <c r="D70" s="22"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71">
      <c r="A71" s="22" t="str">
        <f>IFERROR(__xludf.DUMMYFUNCTION("""COMPUTED_VALUE"""),"ZS17")</f>
        <v>ZS17</v>
      </c>
      <c r="B71" s="22" t="str">
        <f>IFERROR(__xludf.DUMMYFUNCTION("""COMPUTED_VALUE"""),"Hanuka van ma")</f>
        <v>Hanuka van ma</v>
      </c>
      <c r="C71" s="22"/>
      <c r="D71"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72">
      <c r="A72" s="22" t="str">
        <f>IFERROR(__xludf.DUMMYFUNCTION("""COMPUTED_VALUE"""),"ZS11")</f>
        <v>ZS11</v>
      </c>
      <c r="B72" s="22" t="str">
        <f>IFERROR(__xludf.DUMMYFUNCTION("""COMPUTED_VALUE"""),"Havdala")</f>
        <v>Havdala</v>
      </c>
      <c r="C72" s="22" t="str">
        <f>IFERROR(__xludf.DUMMYFUNCTION("""COMPUTED_VALUE"""),"הבדלה")</f>
        <v>הבדלה</v>
      </c>
      <c r="D72"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row r="73">
      <c r="A73" s="22" t="str">
        <f>IFERROR(__xludf.DUMMYFUNCTION("""COMPUTED_VALUE"""),"N06")</f>
        <v>N06</v>
      </c>
      <c r="B73" s="22" t="str">
        <f>IFERROR(__xludf.DUMMYFUNCTION("""COMPUTED_VALUE"""),"Hej, Vargáné káposztát főz")</f>
        <v>Hej, Vargáné káposztát főz</v>
      </c>
      <c r="C73" s="22"/>
      <c r="D73"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74">
      <c r="A74" s="22" t="str">
        <f>IFERROR(__xludf.DUMMYFUNCTION("""COMPUTED_VALUE"""),"H11")</f>
        <v>H11</v>
      </c>
      <c r="B74" s="22" t="str">
        <f>IFERROR(__xludf.DUMMYFUNCTION("""COMPUTED_VALUE"""),"Hevenu sálom álehem")</f>
        <v>Hevenu sálom álehem</v>
      </c>
      <c r="C74" s="22" t="str">
        <f>IFERROR(__xludf.DUMMYFUNCTION("""COMPUTED_VALUE"""),"הבאנו שלום עליכם")</f>
        <v>הבאנו שלום עליכם</v>
      </c>
      <c r="D74"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75">
      <c r="A75" s="22" t="str">
        <f>IFERROR(__xludf.DUMMYFUNCTION("""COMPUTED_VALUE"""),"S02")</f>
        <v>S02</v>
      </c>
      <c r="B75" s="22" t="str">
        <f>IFERROR(__xludf.DUMMYFUNCTION("""COMPUTED_VALUE"""),"Hine kulanu….")</f>
        <v>Hine kulanu….</v>
      </c>
      <c r="C75" s="22"/>
      <c r="D75"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76">
      <c r="A76" s="22" t="str">
        <f>IFERROR(__xludf.DUMMYFUNCTION("""COMPUTED_VALUE"""),"H06")</f>
        <v>H06</v>
      </c>
      <c r="B76" s="22" t="str">
        <f>IFERROR(__xludf.DUMMYFUNCTION("""COMPUTED_VALUE"""),"Hiné má tov")</f>
        <v>Hiné má tov</v>
      </c>
      <c r="C76" s="22" t="str">
        <f>IFERROR(__xludf.DUMMYFUNCTION("""COMPUTED_VALUE"""),"הִנֵּה מַה טוֹב")</f>
        <v>הִנֵּה מַה טוֹב</v>
      </c>
      <c r="D76" s="22"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77">
      <c r="A77" s="22" t="str">
        <f>IFERROR(__xludf.DUMMYFUNCTION("""COMPUTED_VALUE"""),"N07")</f>
        <v>N07</v>
      </c>
      <c r="B77" s="22" t="str">
        <f>IFERROR(__xludf.DUMMYFUNCTION("""COMPUTED_VALUE"""),"Hol jártál az éjjel, cinegemadár")</f>
        <v>Hol jártál az éjjel, cinegemadár</v>
      </c>
      <c r="C77" s="22"/>
      <c r="D77"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78">
      <c r="A78" s="22" t="str">
        <f>IFERROR(__xludf.DUMMYFUNCTION("""COMPUTED_VALUE"""),"K12")</f>
        <v>K12</v>
      </c>
      <c r="B78" s="22" t="str">
        <f>IFERROR(__xludf.DUMMYFUNCTION("""COMPUTED_VALUE"""),"House of the rising sun")</f>
        <v>House of the rising sun</v>
      </c>
      <c r="C78" s="22"/>
      <c r="D78"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79">
      <c r="A79" s="22" t="str">
        <f>IFERROR(__xludf.DUMMYFUNCTION("""COMPUTED_VALUE"""),"N08")</f>
        <v>N08</v>
      </c>
      <c r="B79" s="22" t="str">
        <f>IFERROR(__xludf.DUMMYFUNCTION("""COMPUTED_VALUE"""),"Hull a szilva a fáról")</f>
        <v>Hull a szilva a fáról</v>
      </c>
      <c r="C79" s="22"/>
      <c r="D79"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80">
      <c r="A80" s="22" t="str">
        <f>IFERROR(__xludf.DUMMYFUNCTION("""COMPUTED_VALUE"""),"H01")</f>
        <v>H01</v>
      </c>
      <c r="B80" s="22" t="str">
        <f>IFERROR(__xludf.DUMMYFUNCTION("""COMPUTED_VALUE"""),"Hátikvá")</f>
        <v>Hátikvá</v>
      </c>
      <c r="C80" s="22" t="str">
        <f>IFERROR(__xludf.DUMMYFUNCTION("""COMPUTED_VALUE"""),"התקווה")</f>
        <v>התקווה</v>
      </c>
      <c r="D80"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81">
      <c r="A81" s="22" t="str">
        <f>IFERROR(__xludf.DUMMYFUNCTION("""COMPUTED_VALUE"""),"H12")</f>
        <v>H12</v>
      </c>
      <c r="B81" s="22" t="str">
        <f>IFERROR(__xludf.DUMMYFUNCTION("""COMPUTED_VALUE"""),"Hává nágilá")</f>
        <v>Hává nágilá</v>
      </c>
      <c r="C81" s="22" t="str">
        <f>IFERROR(__xludf.DUMMYFUNCTION("""COMPUTED_VALUE"""),"הבה נגילה")</f>
        <v>הבה נגילה</v>
      </c>
      <c r="D81"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82">
      <c r="A82" s="22" t="str">
        <f>IFERROR(__xludf.DUMMYFUNCTION("""COMPUTED_VALUE"""),"S01")</f>
        <v>S01</v>
      </c>
      <c r="B82" s="22" t="str">
        <f>IFERROR(__xludf.DUMMYFUNCTION("""COMPUTED_VALUE"""),"Hé haver!")</f>
        <v>Hé haver!</v>
      </c>
      <c r="C82" s="22"/>
      <c r="D82"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83">
      <c r="A83" s="22" t="str">
        <f>IFERROR(__xludf.DUMMYFUNCTION("""COMPUTED_VALUE"""),"ZS06")</f>
        <v>ZS06</v>
      </c>
      <c r="B83" s="22" t="str">
        <f>IFERROR(__xludf.DUMMYFUNCTION("""COMPUTED_VALUE"""),"Ilu ilu hociánu / Dájénu")</f>
        <v>Ilu ilu hociánu / Dájénu</v>
      </c>
      <c r="C83" s="22" t="str">
        <f>IFERROR(__xludf.DUMMYFUNCTION("""COMPUTED_VALUE"""),"אילו אילו הוציאנו/דיינו")</f>
        <v>אילו אילו הוציאנו/דיינו</v>
      </c>
      <c r="D83"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4">
      <c r="A84" s="22" t="str">
        <f>IFERROR(__xludf.DUMMYFUNCTION("""COMPUTED_VALUE"""),"ZS22")</f>
        <v>ZS22</v>
      </c>
      <c r="B84" s="22" t="str">
        <f>IFERROR(__xludf.DUMMYFUNCTION("""COMPUTED_VALUE"""),"Im HaShem Lo Jivneh Báit")</f>
        <v>Im HaShem Lo Jivneh Báit</v>
      </c>
      <c r="C84" s="22" t="str">
        <f>IFERROR(__xludf.DUMMYFUNCTION("""COMPUTED_VALUE"""),"אם השם לא יבנה בית")</f>
        <v>אם השם לא יבנה בית</v>
      </c>
      <c r="D84"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85">
      <c r="A85" s="22" t="str">
        <f>IFERROR(__xludf.DUMMYFUNCTION("""COMPUTED_VALUE"""),"T40")</f>
        <v>T40</v>
      </c>
      <c r="B85" s="22" t="str">
        <f>IFERROR(__xludf.DUMMYFUNCTION("""COMPUTED_VALUE"""),"Iszom a bort")</f>
        <v>Iszom a bort</v>
      </c>
      <c r="C85" s="22"/>
      <c r="D85"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86">
      <c r="A86" s="22" t="str">
        <f>IFERROR(__xludf.DUMMYFUNCTION("""COMPUTED_VALUE"""),"ZS14")</f>
        <v>ZS14</v>
      </c>
      <c r="B86" s="22" t="str">
        <f>IFERROR(__xludf.DUMMYFUNCTION("""COMPUTED_VALUE"""),"Jedid Nefes")</f>
        <v>Jedid Nefes</v>
      </c>
      <c r="C86" s="22" t="str">
        <f>IFERROR(__xludf.DUMMYFUNCTION("""COMPUTED_VALUE"""),"ידיד נפש")</f>
        <v>ידיד נפש</v>
      </c>
      <c r="D86"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87">
      <c r="A87" s="22" t="str">
        <f>IFERROR(__xludf.DUMMYFUNCTION("""COMPUTED_VALUE"""),"ZS16")</f>
        <v>ZS16</v>
      </c>
      <c r="B87" s="22" t="str">
        <f>IFERROR(__xludf.DUMMYFUNCTION("""COMPUTED_VALUE"""),"Jemé háhánuká")</f>
        <v>Jemé háhánuká</v>
      </c>
      <c r="C87" s="22" t="str">
        <f>IFERROR(__xludf.DUMMYFUNCTION("""COMPUTED_VALUE"""),"ימי החנוכה")</f>
        <v>ימי החנוכה</v>
      </c>
      <c r="D87"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88">
      <c r="A88" s="22" t="str">
        <f>IFERROR(__xludf.DUMMYFUNCTION("""COMPUTED_VALUE"""),"H02")</f>
        <v>H02</v>
      </c>
      <c r="B88" s="22" t="str">
        <f>IFERROR(__xludf.DUMMYFUNCTION("""COMPUTED_VALUE"""),"Jerusalaim sel záháv")</f>
        <v>Jerusalaim sel záháv</v>
      </c>
      <c r="C88" s="22" t="str">
        <f>IFERROR(__xludf.DUMMYFUNCTION("""COMPUTED_VALUE"""),"ירושלים של זהב")</f>
        <v>ירושלים של זהב</v>
      </c>
      <c r="D88"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9">
      <c r="A89" s="22" t="str">
        <f>IFERROR(__xludf.DUMMYFUNCTION("""COMPUTED_VALUE"""),"T11")</f>
        <v>T11</v>
      </c>
      <c r="B89" s="22" t="str">
        <f>IFERROR(__xludf.DUMMYFUNCTION("""COMPUTED_VALUE"""),"Jég dupla whiskyvel")</f>
        <v>Jég dupla whiskyvel</v>
      </c>
      <c r="C89" s="22"/>
      <c r="D89"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90">
      <c r="A90" s="22" t="str">
        <f>IFERROR(__xludf.DUMMYFUNCTION("""COMPUTED_VALUE"""),"T52")</f>
        <v>T52</v>
      </c>
      <c r="B90" s="22" t="str">
        <f>IFERROR(__xludf.DUMMYFUNCTION("""COMPUTED_VALUE"""),"Jó nekem")</f>
        <v>Jó nekem</v>
      </c>
      <c r="C90" s="22" t="str">
        <f>IFERROR(__xludf.DUMMYFUNCTION("""COMPUTED_VALUE"""),"(1/2)")</f>
        <v>(1/2)</v>
      </c>
      <c r="D90"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91">
      <c r="A91" s="22" t="str">
        <f>IFERROR(__xludf.DUMMYFUNCTION("""COMPUTED_VALUE"""),"T52")</f>
        <v>T52</v>
      </c>
      <c r="B91" s="22" t="str">
        <f>IFERROR(__xludf.DUMMYFUNCTION("""COMPUTED_VALUE"""),"Jó nekem")</f>
        <v>Jó nekem</v>
      </c>
      <c r="C91" s="22" t="str">
        <f>IFERROR(__xludf.DUMMYFUNCTION("""COMPUTED_VALUE"""),"(2/2)")</f>
        <v>(2/2)</v>
      </c>
      <c r="D91" s="22"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92">
      <c r="A92" s="22" t="str">
        <f>IFERROR(__xludf.DUMMYFUNCTION("""COMPUTED_VALUE"""),"K05")</f>
        <v>K05</v>
      </c>
      <c r="B92" s="22" t="str">
        <f>IFERROR(__xludf.DUMMYFUNCTION("""COMPUTED_VALUE"""),"Knocking on heaven's door")</f>
        <v>Knocking on heaven's door</v>
      </c>
      <c r="C92" s="22"/>
      <c r="D92"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93">
      <c r="A93" s="22" t="str">
        <f>IFERROR(__xludf.DUMMYFUNCTION("""COMPUTED_VALUE"""),"H07")</f>
        <v>H07</v>
      </c>
      <c r="B93" s="22" t="str">
        <f>IFERROR(__xludf.DUMMYFUNCTION("""COMPUTED_VALUE"""),"Kol háolám kuló")</f>
        <v>Kol háolám kuló</v>
      </c>
      <c r="C93" s="22" t="str">
        <f>IFERROR(__xludf.DUMMYFUNCTION("""COMPUTED_VALUE"""),"כל העולם כולו")</f>
        <v>כל העולם כולו</v>
      </c>
      <c r="D93"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94">
      <c r="A94" s="22" t="str">
        <f>IFERROR(__xludf.DUMMYFUNCTION("""COMPUTED_VALUE"""),"T78")</f>
        <v>T78</v>
      </c>
      <c r="B94" s="22" t="str">
        <f>IFERROR(__xludf.DUMMYFUNCTION("""COMPUTED_VALUE"""),"Kócos kis ördögök")</f>
        <v>Kócos kis ördögök</v>
      </c>
      <c r="C94" s="22"/>
      <c r="D94"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95">
      <c r="A95" s="22" t="str">
        <f>IFERROR(__xludf.DUMMYFUNCTION("""COMPUTED_VALUE"""),"T04")</f>
        <v>T04</v>
      </c>
      <c r="B95" s="22" t="str">
        <f>IFERROR(__xludf.DUMMYFUNCTION("""COMPUTED_VALUE"""),"Közeli helyeken ")</f>
        <v>Közeli helyeken </v>
      </c>
      <c r="C95" s="22"/>
      <c r="D95"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96">
      <c r="A96" s="22" t="str">
        <f>IFERROR(__xludf.DUMMYFUNCTION("""COMPUTED_VALUE"""),"T51")</f>
        <v>T51</v>
      </c>
      <c r="B96" s="22" t="str">
        <f>IFERROR(__xludf.DUMMYFUNCTION("""COMPUTED_VALUE"""),"Legyetek jók, ha tudtok!")</f>
        <v>Legyetek jók, ha tudtok!</v>
      </c>
      <c r="C96" s="22" t="str">
        <f>IFERROR(__xludf.DUMMYFUNCTION("""COMPUTED_VALUE"""),"(1/2)")</f>
        <v>(1/2)</v>
      </c>
      <c r="D96"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97">
      <c r="A97" s="22" t="str">
        <f>IFERROR(__xludf.DUMMYFUNCTION("""COMPUTED_VALUE"""),"T51")</f>
        <v>T51</v>
      </c>
      <c r="B97" s="22" t="str">
        <f>IFERROR(__xludf.DUMMYFUNCTION("""COMPUTED_VALUE"""),"Legyetek jók, ha tudtok!")</f>
        <v>Legyetek jók, ha tudtok!</v>
      </c>
      <c r="C97" s="22" t="str">
        <f>IFERROR(__xludf.DUMMYFUNCTION("""COMPUTED_VALUE"""),"(2/2)")</f>
        <v>(2/2)</v>
      </c>
      <c r="D97" s="22"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98">
      <c r="A98" s="22" t="str">
        <f>IFERROR(__xludf.DUMMYFUNCTION("""COMPUTED_VALUE"""),"ZS13")</f>
        <v>ZS13</v>
      </c>
      <c r="B98" s="22" t="str">
        <f>IFERROR(__xludf.DUMMYFUNCTION("""COMPUTED_VALUE"""),"Lehá Dodi")</f>
        <v>Lehá Dodi</v>
      </c>
      <c r="C98" s="22" t="str">
        <f>IFERROR(__xludf.DUMMYFUNCTION("""COMPUTED_VALUE"""),"לכה דודי")</f>
        <v>לכה דודי</v>
      </c>
      <c r="D98"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99">
      <c r="A99" s="22" t="str">
        <f>IFERROR(__xludf.DUMMYFUNCTION("""COMPUTED_VALUE"""),"K04")</f>
        <v>K04</v>
      </c>
      <c r="B99" s="22" t="str">
        <f>IFERROR(__xludf.DUMMYFUNCTION("""COMPUTED_VALUE"""),"Lemon Tree")</f>
        <v>Lemon Tree</v>
      </c>
      <c r="C99" s="22" t="str">
        <f>IFERROR(__xludf.DUMMYFUNCTION("""COMPUTED_VALUE"""),"(1/2)")</f>
        <v>(1/2)</v>
      </c>
      <c r="D9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0">
      <c r="A100" s="22" t="str">
        <f>IFERROR(__xludf.DUMMYFUNCTION("""COMPUTED_VALUE"""),"K04")</f>
        <v>K04</v>
      </c>
      <c r="B100" s="22" t="str">
        <f>IFERROR(__xludf.DUMMYFUNCTION("""COMPUTED_VALUE"""),"Lemon Tree")</f>
        <v>Lemon Tree</v>
      </c>
      <c r="C100" s="22" t="str">
        <f>IFERROR(__xludf.DUMMYFUNCTION("""COMPUTED_VALUE"""),"(2/2)")</f>
        <v>(2/2)</v>
      </c>
      <c r="D10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1">
      <c r="A101" s="22" t="str">
        <f>IFERROR(__xludf.DUMMYFUNCTION("""COMPUTED_VALUE"""),"ZS18")</f>
        <v>ZS18</v>
      </c>
      <c r="B101" s="22" t="str">
        <f>IFERROR(__xludf.DUMMYFUNCTION("""COMPUTED_VALUE"""),"Lesana habaa")</f>
        <v>Lesana habaa</v>
      </c>
      <c r="C101" s="22" t="str">
        <f>IFERROR(__xludf.DUMMYFUNCTION("""COMPUTED_VALUE"""),"לשנה הבאה")</f>
        <v>לשנה הבאה</v>
      </c>
      <c r="D101"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02">
      <c r="A102" s="22" t="str">
        <f>IFERROR(__xludf.DUMMYFUNCTION("""COMPUTED_VALUE"""),"K01")</f>
        <v>K01</v>
      </c>
      <c r="B102" s="22" t="str">
        <f>IFERROR(__xludf.DUMMYFUNCTION("""COMPUTED_VALUE"""),"Let It Be")</f>
        <v>Let It Be</v>
      </c>
      <c r="C102" s="22" t="str">
        <f>IFERROR(__xludf.DUMMYFUNCTION("""COMPUTED_VALUE"""),"(1/2)")</f>
        <v>(1/2)</v>
      </c>
      <c r="D102"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103">
      <c r="A103" s="22" t="str">
        <f>IFERROR(__xludf.DUMMYFUNCTION("""COMPUTED_VALUE"""),"K01")</f>
        <v>K01</v>
      </c>
      <c r="B103" s="22" t="str">
        <f>IFERROR(__xludf.DUMMYFUNCTION("""COMPUTED_VALUE"""),"Let It Be")</f>
        <v>Let It Be</v>
      </c>
      <c r="C103" s="22" t="str">
        <f>IFERROR(__xludf.DUMMYFUNCTION("""COMPUTED_VALUE"""),"(2/2)")</f>
        <v>(2/2)</v>
      </c>
      <c r="D103" s="22"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104">
      <c r="A104" s="22" t="str">
        <f>IFERROR(__xludf.DUMMYFUNCTION("""COMPUTED_VALUE"""),"N09")</f>
        <v>N09</v>
      </c>
      <c r="B104" s="22" t="str">
        <f>IFERROR(__xludf.DUMMYFUNCTION("""COMPUTED_VALUE"""),"Láttál- e már valaha")</f>
        <v>Láttál- e már valaha</v>
      </c>
      <c r="C104" s="22"/>
      <c r="D104"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105">
      <c r="A105" s="22" t="str">
        <f>IFERROR(__xludf.DUMMYFUNCTION("""COMPUTED_VALUE"""),"K11")</f>
        <v>K11</v>
      </c>
      <c r="B105" s="22" t="str">
        <f>IFERROR(__xludf.DUMMYFUNCTION("""COMPUTED_VALUE"""),"Mad World ")</f>
        <v>Mad World </v>
      </c>
      <c r="C105" s="22"/>
      <c r="D105"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06">
      <c r="A106" s="22" t="str">
        <f>IFERROR(__xludf.DUMMYFUNCTION("""COMPUTED_VALUE"""),"T73")</f>
        <v>T73</v>
      </c>
      <c r="B106" s="22" t="str">
        <f>IFERROR(__xludf.DUMMYFUNCTION("""COMPUTED_VALUE"""),"Mennyország Tourist")</f>
        <v>Mennyország Tourist</v>
      </c>
      <c r="C106" s="22" t="str">
        <f>IFERROR(__xludf.DUMMYFUNCTION("""COMPUTED_VALUE"""),"(1/2)")</f>
        <v>(1/2)</v>
      </c>
      <c r="D106"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107">
      <c r="A107" s="22" t="str">
        <f>IFERROR(__xludf.DUMMYFUNCTION("""COMPUTED_VALUE"""),"T73")</f>
        <v>T73</v>
      </c>
      <c r="B107" s="22" t="str">
        <f>IFERROR(__xludf.DUMMYFUNCTION("""COMPUTED_VALUE"""),"Mennyország Tourist")</f>
        <v>Mennyország Tourist</v>
      </c>
      <c r="C107" s="22" t="str">
        <f>IFERROR(__xludf.DUMMYFUNCTION("""COMPUTED_VALUE"""),"(2/2)")</f>
        <v>(2/2)</v>
      </c>
      <c r="D107"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108">
      <c r="A108" s="22" t="str">
        <f>IFERROR(__xludf.DUMMYFUNCTION("""COMPUTED_VALUE"""),"T16")</f>
        <v>T16</v>
      </c>
      <c r="B108" s="22" t="str">
        <f>IFERROR(__xludf.DUMMYFUNCTION("""COMPUTED_VALUE"""),"Mi vagyunk a Grund")</f>
        <v>Mi vagyunk a Grund</v>
      </c>
      <c r="C108" s="22"/>
      <c r="D108"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109">
      <c r="A109" s="22" t="str">
        <f>IFERROR(__xludf.DUMMYFUNCTION("""COMPUTED_VALUE"""),"T41")</f>
        <v>T41</v>
      </c>
      <c r="B109" s="22" t="str">
        <f>IFERROR(__xludf.DUMMYFUNCTION("""COMPUTED_VALUE"""),"Micimackó")</f>
        <v>Micimackó</v>
      </c>
      <c r="C109" s="22" t="str">
        <f>IFERROR(__xludf.DUMMYFUNCTION("""COMPUTED_VALUE"""),"(1/2)")</f>
        <v>(1/2)</v>
      </c>
      <c r="D109"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110">
      <c r="A110" s="22" t="str">
        <f>IFERROR(__xludf.DUMMYFUNCTION("""COMPUTED_VALUE"""),"T41")</f>
        <v>T41</v>
      </c>
      <c r="B110" s="22" t="str">
        <f>IFERROR(__xludf.DUMMYFUNCTION("""COMPUTED_VALUE"""),"Micimackó")</f>
        <v>Micimackó</v>
      </c>
      <c r="C110" s="22" t="str">
        <f>IFERROR(__xludf.DUMMYFUNCTION("""COMPUTED_VALUE"""),"(2/2)")</f>
        <v>(2/2)</v>
      </c>
      <c r="D110"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111">
      <c r="A111" s="22" t="str">
        <f>IFERROR(__xludf.DUMMYFUNCTION("""COMPUTED_VALUE"""),"S03")</f>
        <v>S03</v>
      </c>
      <c r="B111" s="22" t="str">
        <f>IFERROR(__xludf.DUMMYFUNCTION("""COMPUTED_VALUE"""),"Minden fejre áll ")</f>
        <v>Minden fejre áll </v>
      </c>
      <c r="C111" s="22"/>
      <c r="D111"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12">
      <c r="A112" s="22" t="str">
        <f>IFERROR(__xludf.DUMMYFUNCTION("""COMPUTED_VALUE"""),"T43")</f>
        <v>T43</v>
      </c>
      <c r="B112" s="22" t="str">
        <f>IFERROR(__xludf.DUMMYFUNCTION("""COMPUTED_VALUE"""),"Mindenki másképp csinálja")</f>
        <v>Mindenki másképp csinálja</v>
      </c>
      <c r="C112" s="22" t="str">
        <f>IFERROR(__xludf.DUMMYFUNCTION("""COMPUTED_VALUE"""),"(1/2)")</f>
        <v>(1/2)</v>
      </c>
      <c r="D112"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13">
      <c r="A113" s="22" t="str">
        <f>IFERROR(__xludf.DUMMYFUNCTION("""COMPUTED_VALUE"""),"T43")</f>
        <v>T43</v>
      </c>
      <c r="B113" s="22" t="str">
        <f>IFERROR(__xludf.DUMMYFUNCTION("""COMPUTED_VALUE"""),"Mindenki másképp csinálja")</f>
        <v>Mindenki másképp csinálja</v>
      </c>
      <c r="C113" s="22" t="str">
        <f>IFERROR(__xludf.DUMMYFUNCTION("""COMPUTED_VALUE"""),"(2/2)")</f>
        <v>(2/2)</v>
      </c>
      <c r="D113" s="22"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14">
      <c r="A114" s="22" t="str">
        <f>IFERROR(__xludf.DUMMYFUNCTION("""COMPUTED_VALUE"""),"T08")</f>
        <v>T08</v>
      </c>
      <c r="B114" s="22" t="str">
        <f>IFERROR(__xludf.DUMMYFUNCTION("""COMPUTED_VALUE"""),"Mit tehetnék érted ")</f>
        <v>Mit tehetnék érted </v>
      </c>
      <c r="C114" s="22"/>
      <c r="D114"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15">
      <c r="A115" s="22" t="str">
        <f>IFERROR(__xludf.DUMMYFUNCTION("""COMPUTED_VALUE"""),"T60")</f>
        <v>T60</v>
      </c>
      <c r="B115" s="22" t="str">
        <f>IFERROR(__xludf.DUMMYFUNCTION("""COMPUTED_VALUE"""),"Most múlik pontosan")</f>
        <v>Most múlik pontosan</v>
      </c>
      <c r="C115" s="22"/>
      <c r="D115"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16">
      <c r="A116" s="22" t="str">
        <f>IFERROR(__xludf.DUMMYFUNCTION("""COMPUTED_VALUE"""),"T49")</f>
        <v>T49</v>
      </c>
      <c r="B116" s="22" t="str">
        <f>IFERROR(__xludf.DUMMYFUNCTION("""COMPUTED_VALUE"""),"Most élsz")</f>
        <v>Most élsz</v>
      </c>
      <c r="C116" s="22" t="str">
        <f>IFERROR(__xludf.DUMMYFUNCTION("""COMPUTED_VALUE"""),"(1/2)")</f>
        <v>(1/2)</v>
      </c>
      <c r="D116"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117">
      <c r="A117" s="22" t="str">
        <f>IFERROR(__xludf.DUMMYFUNCTION("""COMPUTED_VALUE"""),"T49")</f>
        <v>T49</v>
      </c>
      <c r="B117" s="22" t="str">
        <f>IFERROR(__xludf.DUMMYFUNCTION("""COMPUTED_VALUE"""),"Most élsz")</f>
        <v>Most élsz</v>
      </c>
      <c r="C117" s="22" t="str">
        <f>IFERROR(__xludf.DUMMYFUNCTION("""COMPUTED_VALUE"""),"(2/2)")</f>
        <v>(2/2)</v>
      </c>
      <c r="D117" s="22"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118">
      <c r="A118" s="22" t="str">
        <f>IFERROR(__xludf.DUMMYFUNCTION("""COMPUTED_VALUE"""),"ZS19")</f>
        <v>ZS19</v>
      </c>
      <c r="B118" s="22" t="str">
        <f>IFERROR(__xludf.DUMMYFUNCTION("""COMPUTED_VALUE"""),"Má jáfe hájom")</f>
        <v>Má jáfe hájom</v>
      </c>
      <c r="C118" s="22" t="str">
        <f>IFERROR(__xludf.DUMMYFUNCTION("""COMPUTED_VALUE"""),"מה יפה היום")</f>
        <v>מה יפה היום</v>
      </c>
      <c r="D118"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19">
      <c r="A119" s="22" t="str">
        <f>IFERROR(__xludf.DUMMYFUNCTION("""COMPUTED_VALUE"""),"ZS05")</f>
        <v>ZS05</v>
      </c>
      <c r="B119" s="22" t="str">
        <f>IFERROR(__xludf.DUMMYFUNCTION("""COMPUTED_VALUE"""),"Má nistáná")</f>
        <v>Má nistáná</v>
      </c>
      <c r="C119" s="22" t="str">
        <f>IFERROR(__xludf.DUMMYFUNCTION("""COMPUTED_VALUE"""),"מה נשתנה")</f>
        <v>מה נשתנה</v>
      </c>
      <c r="D119"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120">
      <c r="A120" s="22" t="str">
        <f>IFERROR(__xludf.DUMMYFUNCTION("""COMPUTED_VALUE"""),"ZS02")</f>
        <v>ZS02</v>
      </c>
      <c r="B120" s="22" t="str">
        <f>IFERROR(__xludf.DUMMYFUNCTION("""COMPUTED_VALUE"""),"Máoz cur")</f>
        <v>Máoz cur</v>
      </c>
      <c r="C120" s="22" t="str">
        <f>IFERROR(__xludf.DUMMYFUNCTION("""COMPUTED_VALUE"""),"מעוז צור")</f>
        <v>מעוז צור</v>
      </c>
      <c r="D120"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121">
      <c r="A121" s="22" t="str">
        <f>IFERROR(__xludf.DUMMYFUNCTION("""COMPUTED_VALUE"""),"T44")</f>
        <v>T44</v>
      </c>
      <c r="B121" s="22" t="str">
        <f>IFERROR(__xludf.DUMMYFUNCTION("""COMPUTED_VALUE"""),"Neked írom a dalt ")</f>
        <v>Neked írom a dalt </v>
      </c>
      <c r="C121" s="22"/>
      <c r="D121"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122">
      <c r="A122" s="22" t="str">
        <f>IFERROR(__xludf.DUMMYFUNCTION("""COMPUTED_VALUE"""),"H08")</f>
        <v>H08</v>
      </c>
      <c r="B122" s="22" t="str">
        <f>IFERROR(__xludf.DUMMYFUNCTION("""COMPUTED_VALUE"""),"Od avinu cháj")</f>
        <v>Od avinu cháj</v>
      </c>
      <c r="C122" s="22" t="str">
        <f>IFERROR(__xludf.DUMMYFUNCTION("""COMPUTED_VALUE"""),"עוֹד אָבִינוּ חַי")</f>
        <v>עוֹד אָבִינוּ חַי</v>
      </c>
      <c r="D122"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123">
      <c r="A123" s="22" t="str">
        <f>IFERROR(__xludf.DUMMYFUNCTION("""COMPUTED_VALUE"""),"H09")</f>
        <v>H09</v>
      </c>
      <c r="B123" s="22" t="str">
        <f>IFERROR(__xludf.DUMMYFUNCTION("""COMPUTED_VALUE"""),"Od Jávo Sálom Áléjnu")</f>
        <v>Od Jávo Sálom Áléjnu</v>
      </c>
      <c r="C123" s="22" t="str">
        <f>IFERROR(__xludf.DUMMYFUNCTION("""COMPUTED_VALUE"""),"עוד יבוא שלום עלינו")</f>
        <v>עוד יבוא שלום עלינו</v>
      </c>
      <c r="D123"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24">
      <c r="A124" s="22" t="str">
        <f>IFERROR(__xludf.DUMMYFUNCTION("""COMPUTED_VALUE"""),"ZS16")</f>
        <v>ZS16</v>
      </c>
      <c r="B124" s="22" t="str">
        <f>IFERROR(__xludf.DUMMYFUNCTION("""COMPUTED_VALUE"""),"Oh Hanukkah")</f>
        <v>Oh Hanukkah</v>
      </c>
      <c r="C124" s="22" t="str">
        <f>IFERROR(__xludf.DUMMYFUNCTION("""COMPUTED_VALUE"""),"או חנוכה")</f>
        <v>או חנוכה</v>
      </c>
      <c r="D124"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125">
      <c r="A125" s="22" t="str">
        <f>IFERROR(__xludf.DUMMYFUNCTION("""COMPUTED_VALUE"""),"T70")</f>
        <v>T70</v>
      </c>
      <c r="B125" s="22" t="str">
        <f>IFERROR(__xludf.DUMMYFUNCTION("""COMPUTED_VALUE"""),"Ohio")</f>
        <v>Ohio</v>
      </c>
      <c r="C125" s="22"/>
      <c r="D125"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26">
      <c r="A126" s="22" t="str">
        <f>IFERROR(__xludf.DUMMYFUNCTION("""COMPUTED_VALUE"""),"T24")</f>
        <v>T24</v>
      </c>
      <c r="B126" s="22" t="str">
        <f>IFERROR(__xludf.DUMMYFUNCTION("""COMPUTED_VALUE"""),"Oj, tízen voltunk mi testvérek")</f>
        <v>Oj, tízen voltunk mi testvérek</v>
      </c>
      <c r="C126" s="22" t="str">
        <f>IFERROR(__xludf.DUMMYFUNCTION("""COMPUTED_VALUE"""),"(1/2)")</f>
        <v>(1/2)</v>
      </c>
      <c r="D126"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27">
      <c r="A127" s="22" t="str">
        <f>IFERROR(__xludf.DUMMYFUNCTION("""COMPUTED_VALUE"""),"ZS08")</f>
        <v>ZS08</v>
      </c>
      <c r="B127" s="22" t="str">
        <f>IFERROR(__xludf.DUMMYFUNCTION("""COMPUTED_VALUE"""),"Osze Sálom")</f>
        <v>Osze Sálom</v>
      </c>
      <c r="C127" s="22" t="str">
        <f>IFERROR(__xludf.DUMMYFUNCTION("""COMPUTED_VALUE"""),"עושה שלום")</f>
        <v>עושה שלום</v>
      </c>
      <c r="D127"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128">
      <c r="A128" s="22" t="str">
        <f>IFERROR(__xludf.DUMMYFUNCTION("""COMPUTED_VALUE"""),"T54")</f>
        <v>T54</v>
      </c>
      <c r="B128" s="22" t="str">
        <f>IFERROR(__xludf.DUMMYFUNCTION("""COMPUTED_VALUE"""),"Petróleumlámpa ")</f>
        <v>Petróleumlámpa </v>
      </c>
      <c r="C128" s="22"/>
      <c r="D128"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29">
      <c r="A129" s="22" t="str">
        <f>IFERROR(__xludf.DUMMYFUNCTION("""COMPUTED_VALUE"""),"T23")</f>
        <v>T23</v>
      </c>
      <c r="B129" s="22" t="str">
        <f>IFERROR(__xludf.DUMMYFUNCTION("""COMPUTED_VALUE"""),"Rejtelmek")</f>
        <v>Rejtelmek</v>
      </c>
      <c r="C129" s="22"/>
      <c r="D129"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130">
      <c r="A130" s="22" t="str">
        <f>IFERROR(__xludf.DUMMYFUNCTION("""COMPUTED_VALUE"""),"T61")</f>
        <v>T61</v>
      </c>
      <c r="B130" s="22" t="str">
        <f>IFERROR(__xludf.DUMMYFUNCTION("""COMPUTED_VALUE"""),"Sehol se talállak ")</f>
        <v>Sehol se talállak </v>
      </c>
      <c r="C130" s="22"/>
      <c r="D130"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1">
      <c r="A131" s="22" t="str">
        <f>IFERROR(__xludf.DUMMYFUNCTION("""COMPUTED_VALUE"""),"V02")</f>
        <v>V02</v>
      </c>
      <c r="B131" s="22" t="str">
        <f>IFERROR(__xludf.DUMMYFUNCTION("""COMPUTED_VALUE"""),"Shosholozá")</f>
        <v>Shosholozá</v>
      </c>
      <c r="C131" s="22"/>
      <c r="D131"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32">
      <c r="A132" s="22" t="str">
        <f>IFERROR(__xludf.DUMMYFUNCTION("""COMPUTED_VALUE"""),"V01")</f>
        <v>V01</v>
      </c>
      <c r="B132" s="22" t="str">
        <f>IFERROR(__xludf.DUMMYFUNCTION("""COMPUTED_VALUE"""),"Sijáhámbá")</f>
        <v>Sijáhámbá</v>
      </c>
      <c r="C132" s="22"/>
      <c r="D132"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33">
      <c r="A133" s="22" t="str">
        <f>IFERROR(__xludf.DUMMYFUNCTION("""COMPUTED_VALUE"""),"S06")</f>
        <v>S06</v>
      </c>
      <c r="B133" s="22" t="str">
        <f>IFERROR(__xludf.DUMMYFUNCTION("""COMPUTED_VALUE"""),"Sir hápártizánim")</f>
        <v>Sir hápártizánim</v>
      </c>
      <c r="C133" s="22" t="str">
        <f>IFERROR(__xludf.DUMMYFUNCTION("""COMPUTED_VALUE"""),"שיר הפרטיזנים")</f>
        <v>שיר הפרטיזנים</v>
      </c>
      <c r="D133"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34">
      <c r="A134" s="22" t="str">
        <f>IFERROR(__xludf.DUMMYFUNCTION("""COMPUTED_VALUE"""),"K07")</f>
        <v>K07</v>
      </c>
      <c r="B134" s="22" t="str">
        <f>IFERROR(__xludf.DUMMYFUNCTION("""COMPUTED_VALUE"""),"Somewhere Over the Rainbow")</f>
        <v>Somewhere Over the Rainbow</v>
      </c>
      <c r="C134" s="22"/>
      <c r="D134"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35">
      <c r="A135" s="22" t="str">
        <f>IFERROR(__xludf.DUMMYFUNCTION("""COMPUTED_VALUE"""),"T67")</f>
        <v>T67</v>
      </c>
      <c r="B135" s="22" t="str">
        <f>IFERROR(__xludf.DUMMYFUNCTION("""COMPUTED_VALUE"""),"Szeretni valakit valamiért ")</f>
        <v>Szeretni valakit valamiért </v>
      </c>
      <c r="C135" s="22"/>
      <c r="D135"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36">
      <c r="A136" s="22" t="str">
        <f>IFERROR(__xludf.DUMMYFUNCTION("""COMPUTED_VALUE"""),"ZS04")</f>
        <v>ZS04</v>
      </c>
      <c r="B136" s="22" t="str">
        <f>IFERROR(__xludf.DUMMYFUNCTION("""COMPUTED_VALUE"""),"Szevivon, szov szov szov")</f>
        <v>Szevivon, szov szov szov</v>
      </c>
      <c r="C136" s="22" t="str">
        <f>IFERROR(__xludf.DUMMYFUNCTION("""COMPUTED_VALUE"""),"סביבון סוב סוב סוב")</f>
        <v>סביבון סוב סוב סוב</v>
      </c>
      <c r="D136"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37">
      <c r="A137" s="22" t="str">
        <f>IFERROR(__xludf.DUMMYFUNCTION("""COMPUTED_VALUE"""),"T09")</f>
        <v>T09</v>
      </c>
      <c r="B137" s="22" t="str">
        <f>IFERROR(__xludf.DUMMYFUNCTION("""COMPUTED_VALUE"""),"Szilvafácska")</f>
        <v>Szilvafácska</v>
      </c>
      <c r="C137" s="22"/>
      <c r="D137"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138">
      <c r="A138" s="22" t="str">
        <f>IFERROR(__xludf.DUMMYFUNCTION("""COMPUTED_VALUE"""),"ZS20")</f>
        <v>ZS20</v>
      </c>
      <c r="B138" s="22" t="str">
        <f>IFERROR(__xludf.DUMMYFUNCTION("""COMPUTED_VALUE"""),"Szimen tov")</f>
        <v>Szimen tov</v>
      </c>
      <c r="C138" s="22" t="str">
        <f>IFERROR(__xludf.DUMMYFUNCTION("""COMPUTED_VALUE"""),"סימן טוב")</f>
        <v>סימן טוב</v>
      </c>
      <c r="D138"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39">
      <c r="A139" s="22" t="str">
        <f>IFERROR(__xludf.DUMMYFUNCTION("""COMPUTED_VALUE"""),"T46")</f>
        <v>T46</v>
      </c>
      <c r="B139" s="22" t="str">
        <f>IFERROR(__xludf.DUMMYFUNCTION("""COMPUTED_VALUE"""),"Szociálisan érzékeny dal")</f>
        <v>Szociálisan érzékeny dal</v>
      </c>
      <c r="C139" s="22" t="str">
        <f>IFERROR(__xludf.DUMMYFUNCTION("""COMPUTED_VALUE"""),"(1/2)")</f>
        <v>(1/2)</v>
      </c>
      <c r="D139"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140">
      <c r="A140" s="22" t="str">
        <f>IFERROR(__xludf.DUMMYFUNCTION("""COMPUTED_VALUE"""),"T46")</f>
        <v>T46</v>
      </c>
      <c r="B140" s="22" t="str">
        <f>IFERROR(__xludf.DUMMYFUNCTION("""COMPUTED_VALUE"""),"Szociálisan érzékeny dal")</f>
        <v>Szociálisan érzékeny dal</v>
      </c>
      <c r="C140" s="22" t="str">
        <f>IFERROR(__xludf.DUMMYFUNCTION("""COMPUTED_VALUE"""),"(2/2)")</f>
        <v>(2/2)</v>
      </c>
      <c r="D140"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141">
      <c r="A141" s="22" t="str">
        <f>IFERROR(__xludf.DUMMYFUNCTION("""COMPUTED_VALUE"""),"T38")</f>
        <v>T38</v>
      </c>
      <c r="B141" s="22" t="str">
        <f>IFERROR(__xludf.DUMMYFUNCTION("""COMPUTED_VALUE"""),"Szájber gyerek ")</f>
        <v>Szájber gyerek </v>
      </c>
      <c r="C141" s="22"/>
      <c r="D141"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142">
      <c r="A142" s="22" t="str">
        <f>IFERROR(__xludf.DUMMYFUNCTION("""COMPUTED_VALUE"""),"T66")</f>
        <v>T66</v>
      </c>
      <c r="B142" s="22" t="str">
        <f>IFERROR(__xludf.DUMMYFUNCTION("""COMPUTED_VALUE"""),"Szállj el kismadár")</f>
        <v>Szállj el kismadár</v>
      </c>
      <c r="C142" s="22"/>
      <c r="D142"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143">
      <c r="A143" s="22" t="str">
        <f>IFERROR(__xludf.DUMMYFUNCTION("""COMPUTED_VALUE"""),"T57")</f>
        <v>T57</v>
      </c>
      <c r="B143" s="22" t="str">
        <f>IFERROR(__xludf.DUMMYFUNCTION("""COMPUTED_VALUE"""),"Szállj fel magasra ")</f>
        <v>Szállj fel magasra </v>
      </c>
      <c r="C143" s="22"/>
      <c r="D143"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44">
      <c r="A144" s="22" t="str">
        <f>IFERROR(__xludf.DUMMYFUNCTION("""COMPUTED_VALUE"""),"T55")</f>
        <v>T55</v>
      </c>
      <c r="B144" s="22" t="str">
        <f>IFERROR(__xludf.DUMMYFUNCTION("""COMPUTED_VALUE"""),"Szása")</f>
        <v>Szása</v>
      </c>
      <c r="C144" s="22"/>
      <c r="D144"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145">
      <c r="A145" s="22" t="str">
        <f>IFERROR(__xludf.DUMMYFUNCTION("""COMPUTED_VALUE"""),"ZS21")</f>
        <v>ZS21</v>
      </c>
      <c r="B145" s="22" t="str">
        <f>IFERROR(__xludf.DUMMYFUNCTION("""COMPUTED_VALUE"""),"Szól a kakas már")</f>
        <v>Szól a kakas már</v>
      </c>
      <c r="C145" s="22"/>
      <c r="D145"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46">
      <c r="A146" s="22" t="str">
        <f>IFERROR(__xludf.DUMMYFUNCTION("""COMPUTED_VALUE"""),"ZS10")</f>
        <v>ZS10</v>
      </c>
      <c r="B146" s="22" t="str">
        <f>IFERROR(__xludf.DUMMYFUNCTION("""COMPUTED_VALUE"""),"Sábát Sálom")</f>
        <v>Sábát Sálom</v>
      </c>
      <c r="C146" s="22" t="str">
        <f>IFERROR(__xludf.DUMMYFUNCTION("""COMPUTED_VALUE"""),"שבת שלום")</f>
        <v>שבת שלום</v>
      </c>
      <c r="D146"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147">
      <c r="A147" s="22" t="str">
        <f>IFERROR(__xludf.DUMMYFUNCTION("""COMPUTED_VALUE"""),"ZS09")</f>
        <v>ZS09</v>
      </c>
      <c r="B147" s="22" t="str">
        <f>IFERROR(__xludf.DUMMYFUNCTION("""COMPUTED_VALUE"""),"Sálom álehem")</f>
        <v>Sálom álehem</v>
      </c>
      <c r="C147" s="22" t="str">
        <f>IFERROR(__xludf.DUMMYFUNCTION("""COMPUTED_VALUE"""),"שלום עליכם")</f>
        <v>שלום עליכם</v>
      </c>
      <c r="D147"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48">
      <c r="A148" s="22" t="str">
        <f>IFERROR(__xludf.DUMMYFUNCTION("""COMPUTED_VALUE"""),"N10")</f>
        <v>N10</v>
      </c>
      <c r="B148" s="22" t="str">
        <f>IFERROR(__xludf.DUMMYFUNCTION("""COMPUTED_VALUE"""),"Tavaszi szél vizet áraszt")</f>
        <v>Tavaszi szél vizet áraszt</v>
      </c>
      <c r="C148" s="22"/>
      <c r="D148"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149">
      <c r="A149" s="22" t="str">
        <f>IFERROR(__xludf.DUMMYFUNCTION("""COMPUTED_VALUE"""),"T20")</f>
        <v>T20</v>
      </c>
      <c r="B149" s="22" t="str">
        <f>IFERROR(__xludf.DUMMYFUNCTION("""COMPUTED_VALUE"""),"Teljesség felé")</f>
        <v>Teljesség felé</v>
      </c>
      <c r="C149" s="22" t="str">
        <f>IFERROR(__xludf.DUMMYFUNCTION("""COMPUTED_VALUE"""),"(1/2)")</f>
        <v>(1/2)</v>
      </c>
      <c r="D149" s="22"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j"&amp;"árok és próbálok leszokni mindenről 
  D                  A                Bm                G
a falnak támaszkodva szívom az utolsó slukkot az utolsó cigimből, 
        D           A               Bm         G
mielőtt elnyomnám a csikket, mint a kisebbre"&amp;"ndűségit 
D                A                   Bm                       G
fiatal vagyok és fáradt, de legalább értem, hogy miért vagyok még itt 
D          A        Bm        G      D        A  Bm  G
akármilyen meglepő, mégiscsak ezek a legszebb éveink 
"&amp;"D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"&amp;" A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50">
      <c r="A150" s="22" t="str">
        <f>IFERROR(__xludf.DUMMYFUNCTION("""COMPUTED_VALUE"""),"T79")</f>
        <v>T79</v>
      </c>
      <c r="B150" s="22" t="str">
        <f>IFERROR(__xludf.DUMMYFUNCTION("""COMPUTED_VALUE"""),"Tihany")</f>
        <v>Tihany</v>
      </c>
      <c r="C150" s="22"/>
      <c r="D150"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151">
      <c r="A151" s="22" t="str">
        <f>IFERROR(__xludf.DUMMYFUNCTION("""COMPUTED_VALUE"""),"T18")</f>
        <v>T18</v>
      </c>
      <c r="B151" s="22" t="str">
        <f>IFERROR(__xludf.DUMMYFUNCTION("""COMPUTED_VALUE"""),"Tábortűz")</f>
        <v>Tábortűz</v>
      </c>
      <c r="C151" s="22"/>
      <c r="D151"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52">
      <c r="A152" s="22" t="str">
        <f>IFERROR(__xludf.DUMMYFUNCTION("""COMPUTED_VALUE"""),"T45")</f>
        <v>T45</v>
      </c>
      <c r="B152" s="22" t="str">
        <f>IFERROR(__xludf.DUMMYFUNCTION("""COMPUTED_VALUE"""),"Valaki mondja meg ")</f>
        <v>Valaki mondja meg </v>
      </c>
      <c r="C152" s="22"/>
      <c r="D152"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153">
      <c r="A153" s="22" t="str">
        <f>IFERROR(__xludf.DUMMYFUNCTION("""COMPUTED_VALUE"""),"T19")</f>
        <v>T19</v>
      </c>
      <c r="B153" s="22" t="str">
        <f>IFERROR(__xludf.DUMMYFUNCTION("""COMPUTED_VALUE"""),"Van egy ország")</f>
        <v>Van egy ország</v>
      </c>
      <c r="C153" s="22" t="str">
        <f>IFERROR(__xludf.DUMMYFUNCTION("""COMPUTED_VALUE"""),"(1/2)")</f>
        <v>(1/2)</v>
      </c>
      <c r="D153" s="22"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v>
      </c>
    </row>
    <row r="154">
      <c r="A154" s="22" t="str">
        <f>IFERROR(__xludf.DUMMYFUNCTION("""COMPUTED_VALUE"""),"T19")</f>
        <v>T19</v>
      </c>
      <c r="B154" s="22" t="str">
        <f>IFERROR(__xludf.DUMMYFUNCTION("""COMPUTED_VALUE"""),"Van egy ország")</f>
        <v>Van egy ország</v>
      </c>
      <c r="C154" s="22" t="str">
        <f>IFERROR(__xludf.DUMMYFUNCTION("""COMPUTED_VALUE"""),"(2/2)")</f>
        <v>(2/2)</v>
      </c>
      <c r="D154" s="22"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55">
      <c r="A155" s="22" t="str">
        <f>IFERROR(__xludf.DUMMYFUNCTION("""COMPUTED_VALUE"""),"T68")</f>
        <v>T68</v>
      </c>
      <c r="B155" s="22" t="str">
        <f>IFERROR(__xludf.DUMMYFUNCTION("""COMPUTED_VALUE"""),"Vigyázz a madárra")</f>
        <v>Vigyázz a madárra</v>
      </c>
      <c r="C155" s="22"/>
      <c r="D155"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56">
      <c r="A156" s="22" t="str">
        <f>IFERROR(__xludf.DUMMYFUNCTION("""COMPUTED_VALUE"""),"T06")</f>
        <v>T06</v>
      </c>
      <c r="B156" s="22" t="str">
        <f>IFERROR(__xludf.DUMMYFUNCTION("""COMPUTED_VALUE"""),"Vigyázz magadra fiam")</f>
        <v>Vigyázz magadra fiam</v>
      </c>
      <c r="C156" s="22"/>
      <c r="D156"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57">
      <c r="A157" s="22" t="str">
        <f>IFERROR(__xludf.DUMMYFUNCTION("""COMPUTED_VALUE"""),"T15")</f>
        <v>T15</v>
      </c>
      <c r="B157" s="22" t="str">
        <f>IFERROR(__xludf.DUMMYFUNCTION("""COMPUTED_VALUE"""),"Várj, míg felkel majd a nap ")</f>
        <v>Várj, míg felkel majd a nap </v>
      </c>
      <c r="C157" s="22"/>
      <c r="D157"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158">
      <c r="A158" s="22" t="str">
        <f>IFERROR(__xludf.DUMMYFUNCTION("""COMPUTED_VALUE"""),"K02")</f>
        <v>K02</v>
      </c>
      <c r="B158" s="22" t="str">
        <f>IFERROR(__xludf.DUMMYFUNCTION("""COMPUTED_VALUE"""),"Yellow submarine")</f>
        <v>Yellow submarine</v>
      </c>
      <c r="C158" s="22"/>
      <c r="D158"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159">
      <c r="A159" s="22" t="str">
        <f>IFERROR(__xludf.DUMMYFUNCTION("""COMPUTED_VALUE"""),"K03")</f>
        <v>K03</v>
      </c>
      <c r="B159" s="22" t="str">
        <f>IFERROR(__xludf.DUMMYFUNCTION("""COMPUTED_VALUE"""),"Yesterday")</f>
        <v>Yesterday</v>
      </c>
      <c r="C159" s="22"/>
      <c r="D159"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60">
      <c r="A160" s="22" t="str">
        <f>IFERROR(__xludf.DUMMYFUNCTION("""COMPUTED_VALUE"""),"T34")</f>
        <v>T34</v>
      </c>
      <c r="B160" s="22" t="str">
        <f>IFERROR(__xludf.DUMMYFUNCTION("""COMPUTED_VALUE"""),"Zár az égbolt")</f>
        <v>Zár az égbolt</v>
      </c>
      <c r="C160" s="22"/>
      <c r="D160"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161">
      <c r="A161" s="22" t="str">
        <f>IFERROR(__xludf.DUMMYFUNCTION("""COMPUTED_VALUE"""),"ZS01")</f>
        <v>ZS01</v>
      </c>
      <c r="B161" s="22" t="str">
        <f>IFERROR(__xludf.DUMMYFUNCTION("""COMPUTED_VALUE"""),"Ádon olam")</f>
        <v>Ádon olam</v>
      </c>
      <c r="C161" s="22" t="str">
        <f>IFERROR(__xludf.DUMMYFUNCTION("""COMPUTED_VALUE"""),"אדון עולם")</f>
        <v>אדון עולם</v>
      </c>
      <c r="D161"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62">
      <c r="A162" s="22" t="str">
        <f>IFERROR(__xludf.DUMMYFUNCTION("""COMPUTED_VALUE"""),"N03")</f>
        <v>N03</v>
      </c>
      <c r="B162" s="22" t="str">
        <f>IFERROR(__xludf.DUMMYFUNCTION("""COMPUTED_VALUE"""),"Általmennék én a Tiszán ladikon")</f>
        <v>Általmennék én a Tiszán ladikon</v>
      </c>
      <c r="C162" s="22"/>
      <c r="D162"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63">
      <c r="A163" s="22" t="str">
        <f>IFERROR(__xludf.DUMMYFUNCTION("""COMPUTED_VALUE"""),"H14")</f>
        <v>H14</v>
      </c>
      <c r="B163" s="22" t="str">
        <f>IFERROR(__xludf.DUMMYFUNCTION("""COMPUTED_VALUE"""),"Áni Mámin (Száhki száhki)")</f>
        <v>Áni Mámin (Száhki száhki)</v>
      </c>
      <c r="C163" s="22" t="str">
        <f>IFERROR(__xludf.DUMMYFUNCTION("""COMPUTED_VALUE"""),"אני מאמין - שחקי שחקי")</f>
        <v>אני מאמין - שחקי שחקי</v>
      </c>
      <c r="D163" s="22"/>
    </row>
    <row r="164">
      <c r="A164" s="22" t="str">
        <f>IFERROR(__xludf.DUMMYFUNCTION("""COMPUTED_VALUE"""),"H03")</f>
        <v>H03</v>
      </c>
      <c r="B164" s="22" t="str">
        <f>IFERROR(__xludf.DUMMYFUNCTION("""COMPUTED_VALUE"""),"Áni ve ata")</f>
        <v>Áni ve ata</v>
      </c>
      <c r="C164" s="22" t="str">
        <f>IFERROR(__xludf.DUMMYFUNCTION("""COMPUTED_VALUE"""),"אני ואתה")</f>
        <v>אני ואתה</v>
      </c>
      <c r="D164"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65">
      <c r="A165" s="22" t="str">
        <f>IFERROR(__xludf.DUMMYFUNCTION("""COMPUTED_VALUE"""),"ZS15")</f>
        <v>ZS15</v>
      </c>
      <c r="B165" s="22" t="str">
        <f>IFERROR(__xludf.DUMMYFUNCTION("""COMPUTED_VALUE"""),"Ávinu málkénu")</f>
        <v>Ávinu málkénu</v>
      </c>
      <c r="C165" s="22" t="str">
        <f>IFERROR(__xludf.DUMMYFUNCTION("""COMPUTED_VALUE"""),"אבינו מלכנו")</f>
        <v>אבינו מלכנו</v>
      </c>
      <c r="D165"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166">
      <c r="A166" s="22" t="str">
        <f>IFERROR(__xludf.DUMMYFUNCTION("""COMPUTED_VALUE"""),"ZS03")</f>
        <v>ZS03</v>
      </c>
      <c r="B166" s="22" t="str">
        <f>IFERROR(__xludf.DUMMYFUNCTION("""COMPUTED_VALUE"""),"Élt egyszer egy gonosz ember")</f>
        <v>Élt egyszer egy gonosz ember</v>
      </c>
      <c r="C166" s="22"/>
      <c r="D166"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167">
      <c r="A167" s="22" t="str">
        <f>IFERROR(__xludf.DUMMYFUNCTION("""COMPUTED_VALUE"""),"T14")</f>
        <v>T14</v>
      </c>
      <c r="B167" s="22" t="str">
        <f>IFERROR(__xludf.DUMMYFUNCTION("""COMPUTED_VALUE"""),"Én vagyok az aki nem jó ")</f>
        <v>Én vagyok az aki nem jó </v>
      </c>
      <c r="C167" s="22"/>
      <c r="D167"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68">
      <c r="A168" s="22" t="str">
        <f>IFERROR(__xludf.DUMMYFUNCTION("""COMPUTED_VALUE"""),"N05")</f>
        <v>N05</v>
      </c>
      <c r="B168" s="22" t="str">
        <f>IFERROR(__xludf.DUMMYFUNCTION("""COMPUTED_VALUE"""),"Érik a szőlő")</f>
        <v>Érik a szőlő</v>
      </c>
      <c r="C168" s="22"/>
      <c r="D168"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69">
      <c r="A169" s="22" t="str">
        <f>IFERROR(__xludf.DUMMYFUNCTION("""COMPUTED_VALUE"""),"T27")</f>
        <v>T27</v>
      </c>
      <c r="B169" s="22" t="str">
        <f>IFERROR(__xludf.DUMMYFUNCTION("""COMPUTED_VALUE"""),"Ó, ne vidd el… ")</f>
        <v>Ó, ne vidd el… </v>
      </c>
      <c r="C169" s="22"/>
      <c r="D169"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70">
      <c r="A170" s="22" t="str">
        <f>IFERROR(__xludf.DUMMYFUNCTION("""COMPUTED_VALUE"""),"T74")</f>
        <v>T74</v>
      </c>
      <c r="B170" s="22" t="str">
        <f>IFERROR(__xludf.DUMMYFUNCTION("""COMPUTED_VALUE"""),"Örökké tart")</f>
        <v>Örökké tart</v>
      </c>
      <c r="C170" s="22" t="str">
        <f>IFERROR(__xludf.DUMMYFUNCTION("""COMPUTED_VALUE"""),"(1/2)")</f>
        <v>(1/2)</v>
      </c>
      <c r="D170"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71">
      <c r="A171" s="22" t="str">
        <f>IFERROR(__xludf.DUMMYFUNCTION("""COMPUTED_VALUE"""),"T74")</f>
        <v>T74</v>
      </c>
      <c r="B171" s="22" t="str">
        <f>IFERROR(__xludf.DUMMYFUNCTION("""COMPUTED_VALUE"""),"Örökké tart")</f>
        <v>Örökké tart</v>
      </c>
      <c r="C171" s="22" t="str">
        <f>IFERROR(__xludf.DUMMYFUNCTION("""COMPUTED_VALUE"""),"(2/2)")</f>
        <v>(2/2)</v>
      </c>
      <c r="D171"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2" t="str">
        <f>IFERROR(__xludf.DUMMYFUNCTION("QUERY(Siron!A1:I1000,""select A, B, C, F order by F asc"",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IFERROR(__xludf.DUMMYFUNCTION("""COMPUTED_VALUE"""),"H14")</f>
        <v>H14</v>
      </c>
      <c r="B2" s="22" t="str">
        <f>IFERROR(__xludf.DUMMYFUNCTION("""COMPUTED_VALUE"""),"Áni Mámin (Száhki száhki)")</f>
        <v>Áni Mámin (Száhki száhki)</v>
      </c>
      <c r="C2" s="22" t="str">
        <f>IFERROR(__xludf.DUMMYFUNCTION("""COMPUTED_VALUE"""),"אני מאמין - שחקי שחקי")</f>
        <v>אני מאמין - שחקי שחקי</v>
      </c>
      <c r="D2" s="22"/>
    </row>
    <row r="3">
      <c r="A3" s="22" t="str">
        <f>IFERROR(__xludf.DUMMYFUNCTION("""COMPUTED_VALUE"""),"ZS23")</f>
        <v>ZS23</v>
      </c>
      <c r="B3" s="22" t="str">
        <f>IFERROR(__xludf.DUMMYFUNCTION("""COMPUTED_VALUE"""),"Csiribiri")</f>
        <v>Csiribiri</v>
      </c>
      <c r="C3" s="22"/>
      <c r="D3" s="22"/>
    </row>
    <row r="4">
      <c r="A4" s="22" t="str">
        <f>IFERROR(__xludf.DUMMYFUNCTION("""COMPUTED_VALUE"""),"K09")</f>
        <v>K09</v>
      </c>
      <c r="B4" s="22" t="str">
        <f>IFERROR(__xludf.DUMMYFUNCTION("""COMPUTED_VALUE"""),"Banks of the Ohio")</f>
        <v>Banks of the Ohio</v>
      </c>
      <c r="C4" s="22"/>
      <c r="D4"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5">
      <c r="A5" s="22" t="str">
        <f>IFERROR(__xludf.DUMMYFUNCTION("""COMPUTED_VALUE"""),"T71")</f>
        <v>T71</v>
      </c>
      <c r="B5" s="22" t="str">
        <f>IFERROR(__xludf.DUMMYFUNCTION("""COMPUTED_VALUE"""),"Bájoló")</f>
        <v>Bájoló</v>
      </c>
      <c r="C5" s="22"/>
      <c r="D5"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6">
      <c r="A6" s="22" t="str">
        <f>IFERROR(__xludf.DUMMYFUNCTION("""COMPUTED_VALUE"""),"T48")</f>
        <v>T48</v>
      </c>
      <c r="B6" s="22" t="str">
        <f>IFERROR(__xludf.DUMMYFUNCTION("""COMPUTED_VALUE"""),"Egyszer véget ér ")</f>
        <v>Egyszer véget ér </v>
      </c>
      <c r="C6" s="22"/>
      <c r="D6"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7">
      <c r="A7" s="22" t="str">
        <f>IFERROR(__xludf.DUMMYFUNCTION("""COMPUTED_VALUE"""),"K12")</f>
        <v>K12</v>
      </c>
      <c r="B7" s="22" t="str">
        <f>IFERROR(__xludf.DUMMYFUNCTION("""COMPUTED_VALUE"""),"House of the rising sun")</f>
        <v>House of the rising sun</v>
      </c>
      <c r="C7" s="22"/>
      <c r="D7"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8">
      <c r="A8" s="22" t="str">
        <f>IFERROR(__xludf.DUMMYFUNCTION("""COMPUTED_VALUE"""),"T46")</f>
        <v>T46</v>
      </c>
      <c r="B8" s="22" t="str">
        <f>IFERROR(__xludf.DUMMYFUNCTION("""COMPUTED_VALUE"""),"Szociálisan érzékeny dal")</f>
        <v>Szociálisan érzékeny dal</v>
      </c>
      <c r="C8" s="22" t="str">
        <f>IFERROR(__xludf.DUMMYFUNCTION("""COMPUTED_VALUE"""),"(1/2)")</f>
        <v>(1/2)</v>
      </c>
      <c r="D8"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9">
      <c r="A9" s="22" t="str">
        <f>IFERROR(__xludf.DUMMYFUNCTION("""COMPUTED_VALUE"""),"K04")</f>
        <v>K04</v>
      </c>
      <c r="B9" s="22" t="str">
        <f>IFERROR(__xludf.DUMMYFUNCTION("""COMPUTED_VALUE"""),"Lemon Tree")</f>
        <v>Lemon Tree</v>
      </c>
      <c r="C9" s="22" t="str">
        <f>IFERROR(__xludf.DUMMYFUNCTION("""COMPUTED_VALUE"""),"(1/2)")</f>
        <v>(1/2)</v>
      </c>
      <c r="D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
      <c r="A10" s="22" t="str">
        <f>IFERROR(__xludf.DUMMYFUNCTION("""COMPUTED_VALUE"""),"K04")</f>
        <v>K04</v>
      </c>
      <c r="B10" s="22" t="str">
        <f>IFERROR(__xludf.DUMMYFUNCTION("""COMPUTED_VALUE"""),"Lemon Tree")</f>
        <v>Lemon Tree</v>
      </c>
      <c r="C10" s="22" t="str">
        <f>IFERROR(__xludf.DUMMYFUNCTION("""COMPUTED_VALUE"""),"(2/2)")</f>
        <v>(2/2)</v>
      </c>
      <c r="D1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1">
      <c r="A11" s="22" t="str">
        <f>IFERROR(__xludf.DUMMYFUNCTION("""COMPUTED_VALUE"""),"T73")</f>
        <v>T73</v>
      </c>
      <c r="B11" s="22" t="str">
        <f>IFERROR(__xludf.DUMMYFUNCTION("""COMPUTED_VALUE"""),"Mennyország Tourist")</f>
        <v>Mennyország Tourist</v>
      </c>
      <c r="C11" s="22" t="str">
        <f>IFERROR(__xludf.DUMMYFUNCTION("""COMPUTED_VALUE"""),"(2/2)")</f>
        <v>(2/2)</v>
      </c>
      <c r="D11"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12">
      <c r="A12" s="22" t="str">
        <f>IFERROR(__xludf.DUMMYFUNCTION("""COMPUTED_VALUE"""),"T69")</f>
        <v>T69</v>
      </c>
      <c r="B12" s="22" t="str">
        <f>IFERROR(__xludf.DUMMYFUNCTION("""COMPUTED_VALUE"""),"16 tonna")</f>
        <v>16 tonna</v>
      </c>
      <c r="C12" s="22"/>
      <c r="D1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13">
      <c r="A13" s="22" t="str">
        <f>IFERROR(__xludf.DUMMYFUNCTION("""COMPUTED_VALUE"""),"T32")</f>
        <v>T32</v>
      </c>
      <c r="B13" s="22" t="str">
        <f>IFERROR(__xludf.DUMMYFUNCTION("""COMPUTED_VALUE"""),"Balatoni nyár ")</f>
        <v>Balatoni nyár </v>
      </c>
      <c r="C13" s="22"/>
      <c r="D13"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14">
      <c r="A14" s="22" t="str">
        <f>IFERROR(__xludf.DUMMYFUNCTION("""COMPUTED_VALUE"""),"T65")</f>
        <v>T65</v>
      </c>
      <c r="B14" s="22" t="str">
        <f>IFERROR(__xludf.DUMMYFUNCTION("""COMPUTED_VALUE"""),"Ha itt lennél velem")</f>
        <v>Ha itt lennél velem</v>
      </c>
      <c r="C14" s="22" t="str">
        <f>IFERROR(__xludf.DUMMYFUNCTION("""COMPUTED_VALUE"""),"(1/2)")</f>
        <v>(1/2)</v>
      </c>
      <c r="D14" s="22"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15">
      <c r="A15" s="22" t="str">
        <f>IFERROR(__xludf.DUMMYFUNCTION("""COMPUTED_VALUE"""),"T72")</f>
        <v>T72</v>
      </c>
      <c r="B15" s="22" t="str">
        <f>IFERROR(__xludf.DUMMYFUNCTION("""COMPUTED_VALUE"""),"Egyszerű dal")</f>
        <v>Egyszerű dal</v>
      </c>
      <c r="C15" s="22"/>
      <c r="D15"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16">
      <c r="A16" s="22" t="str">
        <f>IFERROR(__xludf.DUMMYFUNCTION("""COMPUTED_VALUE"""),"T77")</f>
        <v>T77</v>
      </c>
      <c r="B16" s="22" t="str">
        <f>IFERROR(__xludf.DUMMYFUNCTION("""COMPUTED_VALUE"""),"Apám hitte")</f>
        <v>Apám hitte</v>
      </c>
      <c r="C16" s="22" t="str">
        <f>IFERROR(__xludf.DUMMYFUNCTION("""COMPUTED_VALUE"""),"(2/2)")</f>
        <v>(2/2)</v>
      </c>
      <c r="D16" s="22" t="str">
        <f>IFERROR(__xludf.DUMMYFUNCTION("""COMPUTED_VALUE"""),"   G               C         Am
Tü rü-rü-rü-rü rü-rü-rü-rü-rü
       Dm7    E7       Am
Azt hiszem ez így van jól.
          C                         E7    Am
Na na-na-na na-na-na-na-na-na na na na-na-na
          C                         E7     Am
Na"&amp;" na-na-na na-na-na-na-na-na na na na-na-na.....
                              C
Én is hiszek egy-két szép dologban,
                   E7      Am
Hiszek a dalban, a dalban, a dalban.
Am                      C
És én hiszek a város zajában,
              "&amp;"E7        Am
És én hiszek benne, s magamban.
                          C
És én hiszek a mikrobarázdában,
                E7      Am
És én hiszek a táguló világban.
                      C
És én hiszek a lézersugárban,
                 E         Am
És én h"&amp;"iszek az ezredfordulóban.
                         C
És én hiszek a kvadrofóniában,
               E7           Am
És én hiszek a fegyver halálában.
                             C
És én hiszek a folyóban s a hídban,
             E7              Am
És én h"&amp;"iszek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7">
      <c r="A17" s="22" t="str">
        <f>IFERROR(__xludf.DUMMYFUNCTION("""COMPUTED_VALUE"""),"T39")</f>
        <v>T39</v>
      </c>
      <c r="B17" s="22" t="str">
        <f>IFERROR(__xludf.DUMMYFUNCTION("""COMPUTED_VALUE"""),"A pancsoló kislány")</f>
        <v>A pancsoló kislány</v>
      </c>
      <c r="C17" s="22"/>
      <c r="D17" s="22"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"&amp;"  G
A strandon az is jó, hogy van még sok gyerek és van homokozó és labdázni lehet, 
     G             G       G7         C        C             G             A           D
Csak azt nem értem én, sok néni miért visít, ha véletlen egy labda épp egy bác"&amp;"sira ráesik
Ij jaj
G             G   G          D     D7          D    D          G
De apukámra is én azért ügyelek és mindig odavisz a lelkiismeret
    G         G       G7           C         C             G
Ha fekszik a napon és izzad már szeg"&amp;"ény, kis vödröm vízzel megtöltöm és
A                 D
rálocsolom mind én
Ij jaj
    G        G    G        D        D7           D    D         G
De este szomorú a hazafelé út, mert otthon az anyu a fürdőkádba dug,
    G                G   G"&amp;"7           C        C               G            
Már volt vele ezért már nagyon sok vitám, mert ki hallott még ilyen dolgot,
A                D
Fürdeni strand után ?
       G              C               D                  G                    
O"&amp;"tthon nem szeretem a strandot, 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18">
      <c r="A18" s="22" t="str">
        <f>IFERROR(__xludf.DUMMYFUNCTION("""COMPUTED_VALUE"""),"T57")</f>
        <v>T57</v>
      </c>
      <c r="B18" s="22" t="str">
        <f>IFERROR(__xludf.DUMMYFUNCTION("""COMPUTED_VALUE"""),"Szállj fel magasra ")</f>
        <v>Szállj fel magasra </v>
      </c>
      <c r="C18" s="22"/>
      <c r="D18"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9">
      <c r="A19" s="22" t="str">
        <f>IFERROR(__xludf.DUMMYFUNCTION("""COMPUTED_VALUE"""),"T36")</f>
        <v>T36</v>
      </c>
      <c r="B19" s="22" t="str">
        <f>IFERROR(__xludf.DUMMYFUNCTION("""COMPUTED_VALUE"""),"Csillag vagy fecske")</f>
        <v>Csillag vagy fecske</v>
      </c>
      <c r="C19" s="22"/>
      <c r="D19"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20">
      <c r="A20" s="22" t="str">
        <f>IFERROR(__xludf.DUMMYFUNCTION("""COMPUTED_VALUE"""),"N05")</f>
        <v>N05</v>
      </c>
      <c r="B20" s="22" t="str">
        <f>IFERROR(__xludf.DUMMYFUNCTION("""COMPUTED_VALUE"""),"Érik a szőlő")</f>
        <v>Érik a szőlő</v>
      </c>
      <c r="C20" s="22"/>
      <c r="D20"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21">
      <c r="A21" s="22" t="str">
        <f>IFERROR(__xludf.DUMMYFUNCTION("""COMPUTED_VALUE"""),"T78")</f>
        <v>T78</v>
      </c>
      <c r="B21" s="22" t="str">
        <f>IFERROR(__xludf.DUMMYFUNCTION("""COMPUTED_VALUE"""),"Kócos kis ördögök")</f>
        <v>Kócos kis ördögök</v>
      </c>
      <c r="C21" s="22"/>
      <c r="D21"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22">
      <c r="A22" s="22" t="str">
        <f>IFERROR(__xludf.DUMMYFUNCTION("""COMPUTED_VALUE"""),"K02")</f>
        <v>K02</v>
      </c>
      <c r="B22" s="22" t="str">
        <f>IFERROR(__xludf.DUMMYFUNCTION("""COMPUTED_VALUE"""),"Yellow submarine")</f>
        <v>Yellow submarine</v>
      </c>
      <c r="C22" s="22"/>
      <c r="D22"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23">
      <c r="A23" s="22" t="str">
        <f>IFERROR(__xludf.DUMMYFUNCTION("""COMPUTED_VALUE"""),"T02")</f>
        <v>T02</v>
      </c>
      <c r="B23" s="22" t="str">
        <f>IFERROR(__xludf.DUMMYFUNCTION("""COMPUTED_VALUE"""),"8 óra munka")</f>
        <v>8 óra munka</v>
      </c>
      <c r="C23" s="22"/>
      <c r="D23"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24">
      <c r="A24" s="22" t="str">
        <f>IFERROR(__xludf.DUMMYFUNCTION("""COMPUTED_VALUE"""),"T79")</f>
        <v>T79</v>
      </c>
      <c r="B24" s="22" t="str">
        <f>IFERROR(__xludf.DUMMYFUNCTION("""COMPUTED_VALUE"""),"Tihany")</f>
        <v>Tihany</v>
      </c>
      <c r="C24" s="22"/>
      <c r="D24"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25">
      <c r="A25" s="22" t="str">
        <f>IFERROR(__xludf.DUMMYFUNCTION("""COMPUTED_VALUE"""),"T29")</f>
        <v>T29</v>
      </c>
      <c r="B25" s="22" t="str">
        <f>IFERROR(__xludf.DUMMYFUNCTION("""COMPUTED_VALUE"""),"A keszthelyi kikötőben")</f>
        <v>A keszthelyi kikötőben</v>
      </c>
      <c r="C25" s="22"/>
      <c r="D25"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26">
      <c r="A26" s="22" t="str">
        <f>IFERROR(__xludf.DUMMYFUNCTION("""COMPUTED_VALUE"""),"T09")</f>
        <v>T09</v>
      </c>
      <c r="B26" s="22" t="str">
        <f>IFERROR(__xludf.DUMMYFUNCTION("""COMPUTED_VALUE"""),"Szilvafácska")</f>
        <v>Szilvafácska</v>
      </c>
      <c r="C26" s="22"/>
      <c r="D26"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27">
      <c r="A27" s="22" t="str">
        <f>IFERROR(__xludf.DUMMYFUNCTION("""COMPUTED_VALUE"""),"T17")</f>
        <v>T17</v>
      </c>
      <c r="B27" s="22" t="str">
        <f>IFERROR(__xludf.DUMMYFUNCTION("""COMPUTED_VALUE"""),"Hajnali ének")</f>
        <v>Hajnali ének</v>
      </c>
      <c r="C27" s="22"/>
      <c r="D27" s="22"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28">
      <c r="A28" s="22" t="str">
        <f>IFERROR(__xludf.DUMMYFUNCTION("""COMPUTED_VALUE"""),"N08")</f>
        <v>N08</v>
      </c>
      <c r="B28" s="22" t="str">
        <f>IFERROR(__xludf.DUMMYFUNCTION("""COMPUTED_VALUE"""),"Hull a szilva a fáról")</f>
        <v>Hull a szilva a fáról</v>
      </c>
      <c r="C28" s="22"/>
      <c r="D28"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29">
      <c r="A29" s="22" t="str">
        <f>IFERROR(__xludf.DUMMYFUNCTION("""COMPUTED_VALUE"""),"ZS16")</f>
        <v>ZS16</v>
      </c>
      <c r="B29" s="22" t="str">
        <f>IFERROR(__xludf.DUMMYFUNCTION("""COMPUTED_VALUE"""),"Jemé háhánuká")</f>
        <v>Jemé háhánuká</v>
      </c>
      <c r="C29" s="22" t="str">
        <f>IFERROR(__xludf.DUMMYFUNCTION("""COMPUTED_VALUE"""),"ימי החנוכה")</f>
        <v>ימי החנוכה</v>
      </c>
      <c r="D29"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30">
      <c r="A30" s="22" t="str">
        <f>IFERROR(__xludf.DUMMYFUNCTION("""COMPUTED_VALUE"""),"ZS16")</f>
        <v>ZS16</v>
      </c>
      <c r="B30" s="22" t="str">
        <f>IFERROR(__xludf.DUMMYFUNCTION("""COMPUTED_VALUE"""),"Oh Hanukkah")</f>
        <v>Oh Hanukkah</v>
      </c>
      <c r="C30" s="22" t="str">
        <f>IFERROR(__xludf.DUMMYFUNCTION("""COMPUTED_VALUE"""),"או חנוכה")</f>
        <v>או חנוכה</v>
      </c>
      <c r="D30"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31">
      <c r="A31" s="22" t="str">
        <f>IFERROR(__xludf.DUMMYFUNCTION("""COMPUTED_VALUE"""),"K08")</f>
        <v>K08</v>
      </c>
      <c r="B31" s="22" t="str">
        <f>IFERROR(__xludf.DUMMYFUNCTION("""COMPUTED_VALUE"""),"Bella ciao")</f>
        <v>Bella ciao</v>
      </c>
      <c r="C31" s="22"/>
      <c r="D31"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2">
      <c r="A32" s="22" t="str">
        <f>IFERROR(__xludf.DUMMYFUNCTION("""COMPUTED_VALUE"""),"ZS03")</f>
        <v>ZS03</v>
      </c>
      <c r="B32" s="22" t="str">
        <f>IFERROR(__xludf.DUMMYFUNCTION("""COMPUTED_VALUE"""),"Élt egyszer egy gonosz ember")</f>
        <v>Élt egyszer egy gonosz ember</v>
      </c>
      <c r="C32" s="22"/>
      <c r="D32"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33">
      <c r="A33" s="22" t="str">
        <f>IFERROR(__xludf.DUMMYFUNCTION("""COMPUTED_VALUE"""),"T73")</f>
        <v>T73</v>
      </c>
      <c r="B33" s="22" t="str">
        <f>IFERROR(__xludf.DUMMYFUNCTION("""COMPUTED_VALUE"""),"Mennyország Tourist")</f>
        <v>Mennyország Tourist</v>
      </c>
      <c r="C33" s="22" t="str">
        <f>IFERROR(__xludf.DUMMYFUNCTION("""COMPUTED_VALUE"""),"(1/2)")</f>
        <v>(1/2)</v>
      </c>
      <c r="D33"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34">
      <c r="A34" s="22" t="str">
        <f>IFERROR(__xludf.DUMMYFUNCTION("""COMPUTED_VALUE"""),"T22")</f>
        <v>T22</v>
      </c>
      <c r="B34" s="22" t="str">
        <f>IFERROR(__xludf.DUMMYFUNCTION("""COMPUTED_VALUE"""),"Baj van a részeg tengerésszel")</f>
        <v>Baj van a részeg tengerésszel</v>
      </c>
      <c r="C34" s="22"/>
      <c r="D34"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35">
      <c r="A35" s="22" t="str">
        <f>IFERROR(__xludf.DUMMYFUNCTION("""COMPUTED_VALUE"""),"T63")</f>
        <v>T63</v>
      </c>
      <c r="B35" s="22" t="str">
        <f>IFERROR(__xludf.DUMMYFUNCTION("""COMPUTED_VALUE"""),"Erdő közepében ")</f>
        <v>Erdő közepében </v>
      </c>
      <c r="C35" s="22"/>
      <c r="D35"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36">
      <c r="A36" s="22" t="str">
        <f>IFERROR(__xludf.DUMMYFUNCTION("""COMPUTED_VALUE"""),"H08")</f>
        <v>H08</v>
      </c>
      <c r="B36" s="22" t="str">
        <f>IFERROR(__xludf.DUMMYFUNCTION("""COMPUTED_VALUE"""),"Od avinu cháj")</f>
        <v>Od avinu cháj</v>
      </c>
      <c r="C36" s="22" t="str">
        <f>IFERROR(__xludf.DUMMYFUNCTION("""COMPUTED_VALUE"""),"עוֹד אָבִינוּ חַי")</f>
        <v>עוֹד אָבִינוּ חַי</v>
      </c>
      <c r="D36"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37">
      <c r="A37" s="22" t="str">
        <f>IFERROR(__xludf.DUMMYFUNCTION("""COMPUTED_VALUE"""),"T01")</f>
        <v>T01</v>
      </c>
      <c r="B37" s="22" t="str">
        <f>IFERROR(__xludf.DUMMYFUNCTION("""COMPUTED_VALUE"""),"Azt hittem érdemes")</f>
        <v>Azt hittem érdemes</v>
      </c>
      <c r="C37" s="22" t="str">
        <f>IFERROR(__xludf.DUMMYFUNCTION("""COMPUTED_VALUE"""),"(2/2)")</f>
        <v>(2/2)</v>
      </c>
      <c r="D37"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38">
      <c r="A38" s="22" t="str">
        <f>IFERROR(__xludf.DUMMYFUNCTION("""COMPUTED_VALUE"""),"ZS17")</f>
        <v>ZS17</v>
      </c>
      <c r="B38" s="22" t="str">
        <f>IFERROR(__xludf.DUMMYFUNCTION("""COMPUTED_VALUE"""),"Hanuka van ma")</f>
        <v>Hanuka van ma</v>
      </c>
      <c r="C38" s="22"/>
      <c r="D38"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39">
      <c r="A39" s="22" t="str">
        <f>IFERROR(__xludf.DUMMYFUNCTION("""COMPUTED_VALUE"""),"T46")</f>
        <v>T46</v>
      </c>
      <c r="B39" s="22" t="str">
        <f>IFERROR(__xludf.DUMMYFUNCTION("""COMPUTED_VALUE"""),"Szociálisan érzékeny dal")</f>
        <v>Szociálisan érzékeny dal</v>
      </c>
      <c r="C39" s="22" t="str">
        <f>IFERROR(__xludf.DUMMYFUNCTION("""COMPUTED_VALUE"""),"(2/2)")</f>
        <v>(2/2)</v>
      </c>
      <c r="D39"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40">
      <c r="A40" s="22" t="str">
        <f>IFERROR(__xludf.DUMMYFUNCTION("""COMPUTED_VALUE"""),"N07")</f>
        <v>N07</v>
      </c>
      <c r="B40" s="22" t="str">
        <f>IFERROR(__xludf.DUMMYFUNCTION("""COMPUTED_VALUE"""),"Hol jártál az éjjel, cinegemadár")</f>
        <v>Hol jártál az éjjel, cinegemadár</v>
      </c>
      <c r="C40" s="22"/>
      <c r="D40"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41">
      <c r="A41" s="22" t="str">
        <f>IFERROR(__xludf.DUMMYFUNCTION("""COMPUTED_VALUE"""),"T25")</f>
        <v>T25</v>
      </c>
      <c r="B41" s="22" t="str">
        <f>IFERROR(__xludf.DUMMYFUNCTION("""COMPUTED_VALUE"""),"Embersólyom")</f>
        <v>Embersólyom</v>
      </c>
      <c r="C41" s="22"/>
      <c r="D41"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42">
      <c r="A42" s="22" t="str">
        <f>IFERROR(__xludf.DUMMYFUNCTION("""COMPUTED_VALUE"""),"T01")</f>
        <v>T01</v>
      </c>
      <c r="B42" s="22" t="str">
        <f>IFERROR(__xludf.DUMMYFUNCTION("""COMPUTED_VALUE"""),"Azt hittem érdemes")</f>
        <v>Azt hittem érdemes</v>
      </c>
      <c r="C42" s="22" t="str">
        <f>IFERROR(__xludf.DUMMYFUNCTION("""COMPUTED_VALUE"""),"(1/2)")</f>
        <v>(1/2)</v>
      </c>
      <c r="D42"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43">
      <c r="A43" s="22" t="str">
        <f>IFERROR(__xludf.DUMMYFUNCTION("""COMPUTED_VALUE"""),"T51")</f>
        <v>T51</v>
      </c>
      <c r="B43" s="22" t="str">
        <f>IFERROR(__xludf.DUMMYFUNCTION("""COMPUTED_VALUE"""),"Legyetek jók, ha tudtok!")</f>
        <v>Legyetek jók, ha tudtok!</v>
      </c>
      <c r="C43" s="22" t="str">
        <f>IFERROR(__xludf.DUMMYFUNCTION("""COMPUTED_VALUE"""),"(2/2)")</f>
        <v>(2/2)</v>
      </c>
      <c r="D43" s="22"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44">
      <c r="A44" s="22" t="str">
        <f>IFERROR(__xludf.DUMMYFUNCTION("""COMPUTED_VALUE"""),"T75")</f>
        <v>T75</v>
      </c>
      <c r="B44" s="22" t="str">
        <f>IFERROR(__xludf.DUMMYFUNCTION("""COMPUTED_VALUE"""),"Európa ")</f>
        <v>Európa </v>
      </c>
      <c r="C44" s="22"/>
      <c r="D44"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45">
      <c r="A45" s="22" t="str">
        <f>IFERROR(__xludf.DUMMYFUNCTION("""COMPUTED_VALUE"""),"T26")</f>
        <v>T26</v>
      </c>
      <c r="B45" s="22" t="str">
        <f>IFERROR(__xludf.DUMMYFUNCTION("""COMPUTED_VALUE"""),"Az éjszaka")</f>
        <v>Az éjszaka</v>
      </c>
      <c r="C45" s="22"/>
      <c r="D45"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46">
      <c r="A46" s="22" t="str">
        <f>IFERROR(__xludf.DUMMYFUNCTION("""COMPUTED_VALUE"""),"T40")</f>
        <v>T40</v>
      </c>
      <c r="B46" s="22" t="str">
        <f>IFERROR(__xludf.DUMMYFUNCTION("""COMPUTED_VALUE"""),"Iszom a bort")</f>
        <v>Iszom a bort</v>
      </c>
      <c r="C46" s="22"/>
      <c r="D46"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47">
      <c r="A47" s="22" t="str">
        <f>IFERROR(__xludf.DUMMYFUNCTION("""COMPUTED_VALUE"""),"H01")</f>
        <v>H01</v>
      </c>
      <c r="B47" s="22" t="str">
        <f>IFERROR(__xludf.DUMMYFUNCTION("""COMPUTED_VALUE"""),"Hátikvá")</f>
        <v>Hátikvá</v>
      </c>
      <c r="C47" s="22" t="str">
        <f>IFERROR(__xludf.DUMMYFUNCTION("""COMPUTED_VALUE"""),"התקווה")</f>
        <v>התקווה</v>
      </c>
      <c r="D47"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48">
      <c r="A48" s="22" t="str">
        <f>IFERROR(__xludf.DUMMYFUNCTION("""COMPUTED_VALUE"""),"T19")</f>
        <v>T19</v>
      </c>
      <c r="B48" s="22" t="str">
        <f>IFERROR(__xludf.DUMMYFUNCTION("""COMPUTED_VALUE"""),"Van egy ország")</f>
        <v>Van egy ország</v>
      </c>
      <c r="C48" s="22" t="str">
        <f>IFERROR(__xludf.DUMMYFUNCTION("""COMPUTED_VALUE"""),"(1/2)")</f>
        <v>(1/2)</v>
      </c>
      <c r="D48" s="22"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v>
      </c>
    </row>
    <row r="49">
      <c r="A49" s="22" t="str">
        <f>IFERROR(__xludf.DUMMYFUNCTION("""COMPUTED_VALUE"""),"T34")</f>
        <v>T34</v>
      </c>
      <c r="B49" s="22" t="str">
        <f>IFERROR(__xludf.DUMMYFUNCTION("""COMPUTED_VALUE"""),"Zár az égbolt")</f>
        <v>Zár az égbolt</v>
      </c>
      <c r="C49" s="22"/>
      <c r="D49"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50">
      <c r="A50" s="22" t="str">
        <f>IFERROR(__xludf.DUMMYFUNCTION("""COMPUTED_VALUE"""),"T59")</f>
        <v>T59</v>
      </c>
      <c r="B50" s="22" t="str">
        <f>IFERROR(__xludf.DUMMYFUNCTION("""COMPUTED_VALUE"""),"Autó egy szerpentinen ")</f>
        <v>Autó egy szerpentinen </v>
      </c>
      <c r="C50" s="22"/>
      <c r="D50"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51">
      <c r="A51" s="22" t="str">
        <f>IFERROR(__xludf.DUMMYFUNCTION("""COMPUTED_VALUE"""),"N06")</f>
        <v>N06</v>
      </c>
      <c r="B51" s="22" t="str">
        <f>IFERROR(__xludf.DUMMYFUNCTION("""COMPUTED_VALUE"""),"Hej, Vargáné káposztát főz")</f>
        <v>Hej, Vargáné káposztát főz</v>
      </c>
      <c r="C51" s="22"/>
      <c r="D51"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52">
      <c r="A52" s="22" t="str">
        <f>IFERROR(__xludf.DUMMYFUNCTION("""COMPUTED_VALUE"""),"ZS14")</f>
        <v>ZS14</v>
      </c>
      <c r="B52" s="22" t="str">
        <f>IFERROR(__xludf.DUMMYFUNCTION("""COMPUTED_VALUE"""),"Jedid Nefes")</f>
        <v>Jedid Nefes</v>
      </c>
      <c r="C52" s="22" t="str">
        <f>IFERROR(__xludf.DUMMYFUNCTION("""COMPUTED_VALUE"""),"ידיד נפש")</f>
        <v>ידיד נפש</v>
      </c>
      <c r="D52"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53">
      <c r="A53" s="22" t="str">
        <f>IFERROR(__xludf.DUMMYFUNCTION("""COMPUTED_VALUE"""),"T19")</f>
        <v>T19</v>
      </c>
      <c r="B53" s="22" t="str">
        <f>IFERROR(__xludf.DUMMYFUNCTION("""COMPUTED_VALUE"""),"Van egy ország")</f>
        <v>Van egy ország</v>
      </c>
      <c r="C53" s="22" t="str">
        <f>IFERROR(__xludf.DUMMYFUNCTION("""COMPUTED_VALUE"""),"(2/2)")</f>
        <v>(2/2)</v>
      </c>
      <c r="D53" s="22"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54">
      <c r="A54" s="22" t="str">
        <f>IFERROR(__xludf.DUMMYFUNCTION("""COMPUTED_VALUE"""),"H06")</f>
        <v>H06</v>
      </c>
      <c r="B54" s="22" t="str">
        <f>IFERROR(__xludf.DUMMYFUNCTION("""COMPUTED_VALUE"""),"Hiné má tov")</f>
        <v>Hiné má tov</v>
      </c>
      <c r="C54" s="22" t="str">
        <f>IFERROR(__xludf.DUMMYFUNCTION("""COMPUTED_VALUE"""),"הִנֵּה מַה טוֹב")</f>
        <v>הִנֵּה מַה טוֹב</v>
      </c>
      <c r="D54" s="22"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55">
      <c r="A55" s="22" t="str">
        <f>IFERROR(__xludf.DUMMYFUNCTION("""COMPUTED_VALUE"""),"T58")</f>
        <v>T58</v>
      </c>
      <c r="B55" s="22" t="str">
        <f>IFERROR(__xludf.DUMMYFUNCTION("""COMPUTED_VALUE"""),"Ajjajjaj ")</f>
        <v>Ajjajjaj </v>
      </c>
      <c r="C55" s="22"/>
      <c r="D55"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56">
      <c r="A56" s="22" t="str">
        <f>IFERROR(__xludf.DUMMYFUNCTION("""COMPUTED_VALUE"""),"H07")</f>
        <v>H07</v>
      </c>
      <c r="B56" s="22" t="str">
        <f>IFERROR(__xludf.DUMMYFUNCTION("""COMPUTED_VALUE"""),"Kol háolám kuló")</f>
        <v>Kol háolám kuló</v>
      </c>
      <c r="C56" s="22" t="str">
        <f>IFERROR(__xludf.DUMMYFUNCTION("""COMPUTED_VALUE"""),"כל העולם כולו")</f>
        <v>כל העולם כולו</v>
      </c>
      <c r="D56"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57">
      <c r="A57" s="22" t="str">
        <f>IFERROR(__xludf.DUMMYFUNCTION("""COMPUTED_VALUE"""),"T55")</f>
        <v>T55</v>
      </c>
      <c r="B57" s="22" t="str">
        <f>IFERROR(__xludf.DUMMYFUNCTION("""COMPUTED_VALUE"""),"Szása")</f>
        <v>Szása</v>
      </c>
      <c r="C57" s="22"/>
      <c r="D57"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58">
      <c r="A58" s="22" t="str">
        <f>IFERROR(__xludf.DUMMYFUNCTION("""COMPUTED_VALUE"""),"K01")</f>
        <v>K01</v>
      </c>
      <c r="B58" s="22" t="str">
        <f>IFERROR(__xludf.DUMMYFUNCTION("""COMPUTED_VALUE"""),"Let It Be")</f>
        <v>Let It Be</v>
      </c>
      <c r="C58" s="22" t="str">
        <f>IFERROR(__xludf.DUMMYFUNCTION("""COMPUTED_VALUE"""),"(2/2)")</f>
        <v>(2/2)</v>
      </c>
      <c r="D58" s="22"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59">
      <c r="A59" s="22" t="str">
        <f>IFERROR(__xludf.DUMMYFUNCTION("""COMPUTED_VALUE"""),"ZS10")</f>
        <v>ZS10</v>
      </c>
      <c r="B59" s="22" t="str">
        <f>IFERROR(__xludf.DUMMYFUNCTION("""COMPUTED_VALUE"""),"Sábát Sálom")</f>
        <v>Sábát Sálom</v>
      </c>
      <c r="C59" s="22" t="str">
        <f>IFERROR(__xludf.DUMMYFUNCTION("""COMPUTED_VALUE"""),"שבת שלום")</f>
        <v>שבת שלום</v>
      </c>
      <c r="D59"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60">
      <c r="A60" s="22" t="str">
        <f>IFERROR(__xludf.DUMMYFUNCTION("""COMPUTED_VALUE"""),"ZS08")</f>
        <v>ZS08</v>
      </c>
      <c r="B60" s="22" t="str">
        <f>IFERROR(__xludf.DUMMYFUNCTION("""COMPUTED_VALUE"""),"Osze Sálom")</f>
        <v>Osze Sálom</v>
      </c>
      <c r="C60" s="22" t="str">
        <f>IFERROR(__xludf.DUMMYFUNCTION("""COMPUTED_VALUE"""),"עושה שלום")</f>
        <v>עושה שלום</v>
      </c>
      <c r="D60"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61">
      <c r="A61" s="22" t="str">
        <f>IFERROR(__xludf.DUMMYFUNCTION("""COMPUTED_VALUE"""),"ZS12")</f>
        <v>ZS12</v>
      </c>
      <c r="B61" s="22" t="str">
        <f>IFERROR(__xludf.DUMMYFUNCTION("""COMPUTED_VALUE"""),"Eliyahu Hanavi")</f>
        <v>Eliyahu Hanavi</v>
      </c>
      <c r="C61" s="22" t="str">
        <f>IFERROR(__xludf.DUMMYFUNCTION("""COMPUTED_VALUE"""),"אליהו הנביא")</f>
        <v>אליהו הנביא</v>
      </c>
      <c r="D61"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62">
      <c r="A62" s="22" t="str">
        <f>IFERROR(__xludf.DUMMYFUNCTION("""COMPUTED_VALUE"""),"T51")</f>
        <v>T51</v>
      </c>
      <c r="B62" s="22" t="str">
        <f>IFERROR(__xludf.DUMMYFUNCTION("""COMPUTED_VALUE"""),"Legyetek jók, ha tudtok!")</f>
        <v>Legyetek jók, ha tudtok!</v>
      </c>
      <c r="C62" s="22" t="str">
        <f>IFERROR(__xludf.DUMMYFUNCTION("""COMPUTED_VALUE"""),"(1/2)")</f>
        <v>(1/2)</v>
      </c>
      <c r="D62"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63">
      <c r="A63" s="22" t="str">
        <f>IFERROR(__xludf.DUMMYFUNCTION("""COMPUTED_VALUE"""),"T77")</f>
        <v>T77</v>
      </c>
      <c r="B63" s="22" t="str">
        <f>IFERROR(__xludf.DUMMYFUNCTION("""COMPUTED_VALUE"""),"Apám hitte")</f>
        <v>Apám hitte</v>
      </c>
      <c r="C63" s="22" t="str">
        <f>IFERROR(__xludf.DUMMYFUNCTION("""COMPUTED_VALUE"""),"(1/2)")</f>
        <v>(1/2)</v>
      </c>
      <c r="D63"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64">
      <c r="A64" s="22" t="str">
        <f>IFERROR(__xludf.DUMMYFUNCTION("""COMPUTED_VALUE"""),"T03")</f>
        <v>T03</v>
      </c>
      <c r="B64" s="22" t="str">
        <f>IFERROR(__xludf.DUMMYFUNCTION("""COMPUTED_VALUE"""),"Adj helyet magad mellett")</f>
        <v>Adj helyet magad mellett</v>
      </c>
      <c r="C64" s="22" t="str">
        <f>IFERROR(__xludf.DUMMYFUNCTION("""COMPUTED_VALUE"""),"(1/2)")</f>
        <v>(1/2)</v>
      </c>
      <c r="D64" s="22"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v>
      </c>
    </row>
    <row r="65">
      <c r="A65" s="22" t="str">
        <f>IFERROR(__xludf.DUMMYFUNCTION("""COMPUTED_VALUE"""),"T07")</f>
        <v>T07</v>
      </c>
      <c r="B65" s="22" t="str">
        <f>IFERROR(__xludf.DUMMYFUNCTION("""COMPUTED_VALUE"""),"Ha én rózsa volnék")</f>
        <v>Ha én rózsa volnék</v>
      </c>
      <c r="C65" s="22"/>
      <c r="D65"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6">
      <c r="A66" s="22" t="str">
        <f>IFERROR(__xludf.DUMMYFUNCTION("""COMPUTED_VALUE"""),"T10")</f>
        <v>T10</v>
      </c>
      <c r="B66" s="22" t="str">
        <f>IFERROR(__xludf.DUMMYFUNCTION("""COMPUTED_VALUE"""),"Az légy aki vagy")</f>
        <v>Az légy aki vagy</v>
      </c>
      <c r="C66" s="22"/>
      <c r="D66"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67">
      <c r="A67" s="22" t="str">
        <f>IFERROR(__xludf.DUMMYFUNCTION("""COMPUTED_VALUE"""),"T49")</f>
        <v>T49</v>
      </c>
      <c r="B67" s="22" t="str">
        <f>IFERROR(__xludf.DUMMYFUNCTION("""COMPUTED_VALUE"""),"Most élsz")</f>
        <v>Most élsz</v>
      </c>
      <c r="C67" s="22" t="str">
        <f>IFERROR(__xludf.DUMMYFUNCTION("""COMPUTED_VALUE"""),"(1/2)")</f>
        <v>(1/2)</v>
      </c>
      <c r="D67"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68">
      <c r="A68" s="22" t="str">
        <f>IFERROR(__xludf.DUMMYFUNCTION("""COMPUTED_VALUE"""),"T49")</f>
        <v>T49</v>
      </c>
      <c r="B68" s="22" t="str">
        <f>IFERROR(__xludf.DUMMYFUNCTION("""COMPUTED_VALUE"""),"Most élsz")</f>
        <v>Most élsz</v>
      </c>
      <c r="C68" s="22" t="str">
        <f>IFERROR(__xludf.DUMMYFUNCTION("""COMPUTED_VALUE"""),"(2/2)")</f>
        <v>(2/2)</v>
      </c>
      <c r="D68" s="22"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69">
      <c r="A69" s="22" t="str">
        <f>IFERROR(__xludf.DUMMYFUNCTION("""COMPUTED_VALUE"""),"H13")</f>
        <v>H13</v>
      </c>
      <c r="B69" s="22" t="str">
        <f>IFERROR(__xludf.DUMMYFUNCTION("""COMPUTED_VALUE"""),"Dávid meleh Jiszrael")</f>
        <v>Dávid meleh Jiszrael</v>
      </c>
      <c r="C69" s="22" t="str">
        <f>IFERROR(__xludf.DUMMYFUNCTION("""COMPUTED_VALUE"""),"דוד מלך ישראל")</f>
        <v>דוד מלך ישראל</v>
      </c>
      <c r="D69" s="22" t="str">
        <f>IFERROR(__xludf.DUMMYFUNCTION("""COMPUTED_VALUE"""),"C
Dávid meleḥ Jiszráel,
C
ḥáj, ḥáj vekájám.
F
Dávid meleḥ Jiszráel,
C
ḥáj, ḥáj vekájám.")</f>
        <v>C
Dávid meleḥ Jiszráel,
C
ḥáj, ḥáj vekájám.
F
Dávid meleḥ Jiszráel,
C
ḥáj, ḥáj vekájám.</v>
      </c>
    </row>
    <row r="70">
      <c r="A70" s="22" t="str">
        <f>IFERROR(__xludf.DUMMYFUNCTION("""COMPUTED_VALUE"""),"H12")</f>
        <v>H12</v>
      </c>
      <c r="B70" s="22" t="str">
        <f>IFERROR(__xludf.DUMMYFUNCTION("""COMPUTED_VALUE"""),"Hává nágilá")</f>
        <v>Hává nágilá</v>
      </c>
      <c r="C70" s="22" t="str">
        <f>IFERROR(__xludf.DUMMYFUNCTION("""COMPUTED_VALUE"""),"הבה נגילה")</f>
        <v>הבה נגילה</v>
      </c>
      <c r="D70"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71">
      <c r="A71" s="22" t="str">
        <f>IFERROR(__xludf.DUMMYFUNCTION("""COMPUTED_VALUE"""),"N09")</f>
        <v>N09</v>
      </c>
      <c r="B71" s="22" t="str">
        <f>IFERROR(__xludf.DUMMYFUNCTION("""COMPUTED_VALUE"""),"Láttál- e már valaha")</f>
        <v>Láttál- e már valaha</v>
      </c>
      <c r="C71" s="22"/>
      <c r="D71"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72">
      <c r="A72" s="22" t="str">
        <f>IFERROR(__xludf.DUMMYFUNCTION("""COMPUTED_VALUE"""),"T66")</f>
        <v>T66</v>
      </c>
      <c r="B72" s="22" t="str">
        <f>IFERROR(__xludf.DUMMYFUNCTION("""COMPUTED_VALUE"""),"Szállj el kismadár")</f>
        <v>Szállj el kismadár</v>
      </c>
      <c r="C72" s="22"/>
      <c r="D72"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73">
      <c r="A73" s="22" t="str">
        <f>IFERROR(__xludf.DUMMYFUNCTION("""COMPUTED_VALUE"""),"T03")</f>
        <v>T03</v>
      </c>
      <c r="B73" s="22" t="str">
        <f>IFERROR(__xludf.DUMMYFUNCTION("""COMPUTED_VALUE"""),"Adj helyet magad mellett")</f>
        <v>Adj helyet magad mellett</v>
      </c>
      <c r="C73" s="22" t="str">
        <f>IFERROR(__xludf.DUMMYFUNCTION("""COMPUTED_VALUE"""),"(2/2)")</f>
        <v>(2/2)</v>
      </c>
      <c r="D73" s="22" t="str">
        <f>IFERROR(__xludf.DUMMYFUNCTION("""COMPUTED_VALUE"""),"C                    G
Mint kínomban a színpadon,
      E7                   Am
Fejem a lábam közt, ülök a nyakamon
C               G
Homokkal teli a szám
         E7            Am
Szép vagyok, mosolygok rám
Am D  Dm Am
C  G  E7 Am
Am                 "&amp;" D
Adj helyet magad mellett
 Dm                     Am
Az ablakhoz én is odaférjek
 C                       G
Meztelen válladhoz érjen a vállam
E7                Am
Engedd, hogy megkívánjam
C               G
Engedd, hogy érezzem,
       E7            Am"&amp;"
Hogy szabadabban lélegzem
      C                 G
És ha éhes vagyok és fáradt
      E7                Am
Magamfajta többet mit kívánhat")</f>
        <v>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74">
      <c r="A74" s="22" t="str">
        <f>IFERROR(__xludf.DUMMYFUNCTION("""COMPUTED_VALUE"""),"T42")</f>
        <v>T42</v>
      </c>
      <c r="B74" s="22" t="str">
        <f>IFERROR(__xludf.DUMMYFUNCTION("""COMPUTED_VALUE"""),"Hallelujah")</f>
        <v>Hallelujah</v>
      </c>
      <c r="C74" s="22" t="str">
        <f>IFERROR(__xludf.DUMMYFUNCTION("""COMPUTED_VALUE"""),"(1/2)")</f>
        <v>(1/2)</v>
      </c>
      <c r="D74"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75">
      <c r="A75" s="22" t="str">
        <f>IFERROR(__xludf.DUMMYFUNCTION("""COMPUTED_VALUE"""),"S04")</f>
        <v>S04</v>
      </c>
      <c r="B75" s="22" t="str">
        <f>IFERROR(__xludf.DUMMYFUNCTION("""COMPUTED_VALUE"""),"Cofi himnusz")</f>
        <v>Cofi himnusz</v>
      </c>
      <c r="C75" s="22"/>
      <c r="D75"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76">
      <c r="A76" s="22" t="str">
        <f>IFERROR(__xludf.DUMMYFUNCTION("""COMPUTED_VALUE"""),"H10")</f>
        <v>H10</v>
      </c>
      <c r="B76" s="22" t="str">
        <f>IFERROR(__xludf.DUMMYFUNCTION("""COMPUTED_VALUE"""),"Hajom jom huledet")</f>
        <v>Hajom jom huledet</v>
      </c>
      <c r="C76" s="22" t="str">
        <f>IFERROR(__xludf.DUMMYFUNCTION("""COMPUTED_VALUE"""),"היום יום הולדת")</f>
        <v>היום יום הולדת</v>
      </c>
      <c r="D76"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77">
      <c r="A77" s="22" t="str">
        <f>IFERROR(__xludf.DUMMYFUNCTION("""COMPUTED_VALUE"""),"T41")</f>
        <v>T41</v>
      </c>
      <c r="B77" s="22" t="str">
        <f>IFERROR(__xludf.DUMMYFUNCTION("""COMPUTED_VALUE"""),"Micimackó")</f>
        <v>Micimackó</v>
      </c>
      <c r="C77" s="22" t="str">
        <f>IFERROR(__xludf.DUMMYFUNCTION("""COMPUTED_VALUE"""),"(1/2)")</f>
        <v>(1/2)</v>
      </c>
      <c r="D77"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78">
      <c r="A78" s="22" t="str">
        <f>IFERROR(__xludf.DUMMYFUNCTION("""COMPUTED_VALUE"""),"T45")</f>
        <v>T45</v>
      </c>
      <c r="B78" s="22" t="str">
        <f>IFERROR(__xludf.DUMMYFUNCTION("""COMPUTED_VALUE"""),"Valaki mondja meg ")</f>
        <v>Valaki mondja meg </v>
      </c>
      <c r="C78" s="22"/>
      <c r="D78"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79">
      <c r="A79" s="22" t="str">
        <f>IFERROR(__xludf.DUMMYFUNCTION("""COMPUTED_VALUE"""),"T16")</f>
        <v>T16</v>
      </c>
      <c r="B79" s="22" t="str">
        <f>IFERROR(__xludf.DUMMYFUNCTION("""COMPUTED_VALUE"""),"Mi vagyunk a Grund")</f>
        <v>Mi vagyunk a Grund</v>
      </c>
      <c r="C79" s="22"/>
      <c r="D79"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80">
      <c r="A80" s="22" t="str">
        <f>IFERROR(__xludf.DUMMYFUNCTION("""COMPUTED_VALUE"""),"T42")</f>
        <v>T42</v>
      </c>
      <c r="B80" s="22" t="str">
        <f>IFERROR(__xludf.DUMMYFUNCTION("""COMPUTED_VALUE"""),"Hallelujah")</f>
        <v>Hallelujah</v>
      </c>
      <c r="C80" s="22" t="str">
        <f>IFERROR(__xludf.DUMMYFUNCTION("""COMPUTED_VALUE"""),"(2/2)")</f>
        <v>(2/2)</v>
      </c>
      <c r="D80" s="22"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81">
      <c r="A81" s="22" t="str">
        <f>IFERROR(__xludf.DUMMYFUNCTION("""COMPUTED_VALUE"""),"T33")</f>
        <v>T33</v>
      </c>
      <c r="B81" s="22" t="str">
        <f>IFERROR(__xludf.DUMMYFUNCTION("""COMPUTED_VALUE"""),"Elizabeth ")</f>
        <v>Elizabeth </v>
      </c>
      <c r="C81" s="22"/>
      <c r="D81"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82">
      <c r="A82" s="22" t="str">
        <f>IFERROR(__xludf.DUMMYFUNCTION("""COMPUTED_VALUE"""),"K01")</f>
        <v>K01</v>
      </c>
      <c r="B82" s="22" t="str">
        <f>IFERROR(__xludf.DUMMYFUNCTION("""COMPUTED_VALUE"""),"Let It Be")</f>
        <v>Let It Be</v>
      </c>
      <c r="C82" s="22" t="str">
        <f>IFERROR(__xludf.DUMMYFUNCTION("""COMPUTED_VALUE"""),"(1/2)")</f>
        <v>(1/2)</v>
      </c>
      <c r="D82"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83">
      <c r="A83" s="22" t="str">
        <f>IFERROR(__xludf.DUMMYFUNCTION("""COMPUTED_VALUE"""),"T23")</f>
        <v>T23</v>
      </c>
      <c r="B83" s="22" t="str">
        <f>IFERROR(__xludf.DUMMYFUNCTION("""COMPUTED_VALUE"""),"Rejtelmek")</f>
        <v>Rejtelmek</v>
      </c>
      <c r="C83" s="22"/>
      <c r="D83"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84">
      <c r="A84" s="22" t="str">
        <f>IFERROR(__xludf.DUMMYFUNCTION("""COMPUTED_VALUE"""),"T41")</f>
        <v>T41</v>
      </c>
      <c r="B84" s="22" t="str">
        <f>IFERROR(__xludf.DUMMYFUNCTION("""COMPUTED_VALUE"""),"Micimackó")</f>
        <v>Micimackó</v>
      </c>
      <c r="C84" s="22" t="str">
        <f>IFERROR(__xludf.DUMMYFUNCTION("""COMPUTED_VALUE"""),"(2/2)")</f>
        <v>(2/2)</v>
      </c>
      <c r="D84"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85">
      <c r="A85" s="22" t="str">
        <f>IFERROR(__xludf.DUMMYFUNCTION("""COMPUTED_VALUE"""),"N10")</f>
        <v>N10</v>
      </c>
      <c r="B85" s="22" t="str">
        <f>IFERROR(__xludf.DUMMYFUNCTION("""COMPUTED_VALUE"""),"Tavaszi szél vizet áraszt")</f>
        <v>Tavaszi szél vizet áraszt</v>
      </c>
      <c r="C85" s="22"/>
      <c r="D85"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86">
      <c r="A86" s="22" t="str">
        <f>IFERROR(__xludf.DUMMYFUNCTION("""COMPUTED_VALUE"""),"ZS02")</f>
        <v>ZS02</v>
      </c>
      <c r="B86" s="22" t="str">
        <f>IFERROR(__xludf.DUMMYFUNCTION("""COMPUTED_VALUE"""),"Máoz cur")</f>
        <v>Máoz cur</v>
      </c>
      <c r="C86" s="22" t="str">
        <f>IFERROR(__xludf.DUMMYFUNCTION("""COMPUTED_VALUE"""),"מעוז צור")</f>
        <v>מעוז צור</v>
      </c>
      <c r="D86"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87">
      <c r="A87" s="22" t="str">
        <f>IFERROR(__xludf.DUMMYFUNCTION("""COMPUTED_VALUE"""),"ZS15")</f>
        <v>ZS15</v>
      </c>
      <c r="B87" s="22" t="str">
        <f>IFERROR(__xludf.DUMMYFUNCTION("""COMPUTED_VALUE"""),"Ávinu málkénu")</f>
        <v>Ávinu málkénu</v>
      </c>
      <c r="C87" s="22" t="str">
        <f>IFERROR(__xludf.DUMMYFUNCTION("""COMPUTED_VALUE"""),"אבינו מלכנו")</f>
        <v>אבינו מלכנו</v>
      </c>
      <c r="D87"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88">
      <c r="A88" s="22" t="str">
        <f>IFERROR(__xludf.DUMMYFUNCTION("""COMPUTED_VALUE"""),"T65")</f>
        <v>T65</v>
      </c>
      <c r="B88" s="22" t="str">
        <f>IFERROR(__xludf.DUMMYFUNCTION("""COMPUTED_VALUE"""),"Ha itt lennél velem")</f>
        <v>Ha itt lennél velem</v>
      </c>
      <c r="C88" s="22" t="str">
        <f>IFERROR(__xludf.DUMMYFUNCTION("""COMPUTED_VALUE"""),"(2/2)")</f>
        <v>(2/2)</v>
      </c>
      <c r="D88" s="22"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89">
      <c r="A89" s="22" t="str">
        <f>IFERROR(__xludf.DUMMYFUNCTION("""COMPUTED_VALUE"""),"ZS06")</f>
        <v>ZS06</v>
      </c>
      <c r="B89" s="22" t="str">
        <f>IFERROR(__xludf.DUMMYFUNCTION("""COMPUTED_VALUE"""),"Ilu ilu hociánu / Dájénu")</f>
        <v>Ilu ilu hociánu / Dájénu</v>
      </c>
      <c r="C89" s="22" t="str">
        <f>IFERROR(__xludf.DUMMYFUNCTION("""COMPUTED_VALUE"""),"אילו אילו הוציאנו/דיינו")</f>
        <v>אילו אילו הוציאנו/דיינו</v>
      </c>
      <c r="D89"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90">
      <c r="A90" s="22" t="str">
        <f>IFERROR(__xludf.DUMMYFUNCTION("""COMPUTED_VALUE"""),"T56")</f>
        <v>T56</v>
      </c>
      <c r="B90" s="22" t="str">
        <f>IFERROR(__xludf.DUMMYFUNCTION("""COMPUTED_VALUE"""),"A börtön ablakában")</f>
        <v>A börtön ablakában</v>
      </c>
      <c r="C90" s="22"/>
      <c r="D90"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91">
      <c r="A91" s="22" t="str">
        <f>IFERROR(__xludf.DUMMYFUNCTION("""COMPUTED_VALUE"""),"T44")</f>
        <v>T44</v>
      </c>
      <c r="B91" s="22" t="str">
        <f>IFERROR(__xludf.DUMMYFUNCTION("""COMPUTED_VALUE"""),"Neked írom a dalt ")</f>
        <v>Neked írom a dalt </v>
      </c>
      <c r="C91" s="22"/>
      <c r="D91"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92">
      <c r="A92" s="22" t="str">
        <f>IFERROR(__xludf.DUMMYFUNCTION("""COMPUTED_VALUE"""),"T15")</f>
        <v>T15</v>
      </c>
      <c r="B92" s="22" t="str">
        <f>IFERROR(__xludf.DUMMYFUNCTION("""COMPUTED_VALUE"""),"Várj, míg felkel majd a nap ")</f>
        <v>Várj, míg felkel majd a nap </v>
      </c>
      <c r="C92" s="22"/>
      <c r="D92"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93">
      <c r="A93" s="22" t="str">
        <f>IFERROR(__xludf.DUMMYFUNCTION("""COMPUTED_VALUE"""),"ZS07")</f>
        <v>ZS07</v>
      </c>
      <c r="B93" s="22" t="str">
        <f>IFERROR(__xludf.DUMMYFUNCTION("""COMPUTED_VALUE"""),"Ehad mi jodeá")</f>
        <v>Ehad mi jodeá</v>
      </c>
      <c r="C93" s="22" t="str">
        <f>IFERROR(__xludf.DUMMYFUNCTION("""COMPUTED_VALUE"""),"אחד מי יודע")</f>
        <v>אחד מי יודע</v>
      </c>
      <c r="D93"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94">
      <c r="A94" s="22" t="str">
        <f>IFERROR(__xludf.DUMMYFUNCTION("""COMPUTED_VALUE"""),"H11")</f>
        <v>H11</v>
      </c>
      <c r="B94" s="22" t="str">
        <f>IFERROR(__xludf.DUMMYFUNCTION("""COMPUTED_VALUE"""),"Hevenu sálom álehem")</f>
        <v>Hevenu sálom álehem</v>
      </c>
      <c r="C94" s="22" t="str">
        <f>IFERROR(__xludf.DUMMYFUNCTION("""COMPUTED_VALUE"""),"הבאנו שלום עליכם")</f>
        <v>הבאנו שלום עליכם</v>
      </c>
      <c r="D94"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95">
      <c r="A95" s="22" t="str">
        <f>IFERROR(__xludf.DUMMYFUNCTION("""COMPUTED_VALUE"""),"ZS05")</f>
        <v>ZS05</v>
      </c>
      <c r="B95" s="22" t="str">
        <f>IFERROR(__xludf.DUMMYFUNCTION("""COMPUTED_VALUE"""),"Má nistáná")</f>
        <v>Má nistáná</v>
      </c>
      <c r="C95" s="22" t="str">
        <f>IFERROR(__xludf.DUMMYFUNCTION("""COMPUTED_VALUE"""),"מה נשתנה")</f>
        <v>מה נשתנה</v>
      </c>
      <c r="D95"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96">
      <c r="A96" s="22" t="str">
        <f>IFERROR(__xludf.DUMMYFUNCTION("""COMPUTED_VALUE"""),"H02")</f>
        <v>H02</v>
      </c>
      <c r="B96" s="22" t="str">
        <f>IFERROR(__xludf.DUMMYFUNCTION("""COMPUTED_VALUE"""),"Jerusalaim sel záháv")</f>
        <v>Jerusalaim sel záháv</v>
      </c>
      <c r="C96" s="22" t="str">
        <f>IFERROR(__xludf.DUMMYFUNCTION("""COMPUTED_VALUE"""),"ירושלים של זהב")</f>
        <v>ירושלים של זהב</v>
      </c>
      <c r="D96"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97">
      <c r="A97" s="22" t="str">
        <f>IFERROR(__xludf.DUMMYFUNCTION("""COMPUTED_VALUE"""),"T38")</f>
        <v>T38</v>
      </c>
      <c r="B97" s="22" t="str">
        <f>IFERROR(__xludf.DUMMYFUNCTION("""COMPUTED_VALUE"""),"Szájber gyerek ")</f>
        <v>Szájber gyerek </v>
      </c>
      <c r="C97" s="22"/>
      <c r="D97"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98">
      <c r="A98" s="22" t="str">
        <f>IFERROR(__xludf.DUMMYFUNCTION("""COMPUTED_VALUE"""),"T35")</f>
        <v>T35</v>
      </c>
      <c r="B98" s="22" t="str">
        <f>IFERROR(__xludf.DUMMYFUNCTION("""COMPUTED_VALUE"""),"Ezt is elviszem magammal")</f>
        <v>Ezt is elviszem magammal</v>
      </c>
      <c r="C98" s="22" t="str">
        <f>IFERROR(__xludf.DUMMYFUNCTION("""COMPUTED_VALUE"""),"(1/2)")</f>
        <v>(1/2)</v>
      </c>
      <c r="D98"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9">
      <c r="A99" s="22" t="str">
        <f>IFERROR(__xludf.DUMMYFUNCTION("""COMPUTED_VALUE"""),"T35")</f>
        <v>T35</v>
      </c>
      <c r="B99" s="22" t="str">
        <f>IFERROR(__xludf.DUMMYFUNCTION("""COMPUTED_VALUE"""),"Ezt is elviszem magammal")</f>
        <v>Ezt is elviszem magammal</v>
      </c>
      <c r="C99" s="22" t="str">
        <f>IFERROR(__xludf.DUMMYFUNCTION("""COMPUTED_VALUE"""),"(2/2)")</f>
        <v>(2/2)</v>
      </c>
      <c r="D99" s="22"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100">
      <c r="A100" s="22" t="str">
        <f>IFERROR(__xludf.DUMMYFUNCTION("""COMPUTED_VALUE"""),"H09")</f>
        <v>H09</v>
      </c>
      <c r="B100" s="22" t="str">
        <f>IFERROR(__xludf.DUMMYFUNCTION("""COMPUTED_VALUE"""),"Od Jávo Sálom Áléjnu")</f>
        <v>Od Jávo Sálom Áléjnu</v>
      </c>
      <c r="C100" s="22" t="str">
        <f>IFERROR(__xludf.DUMMYFUNCTION("""COMPUTED_VALUE"""),"עוד יבוא שלום עלינו")</f>
        <v>עוד יבוא שלום עלינו</v>
      </c>
      <c r="D100"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01">
      <c r="A101" s="22" t="str">
        <f>IFERROR(__xludf.DUMMYFUNCTION("""COMPUTED_VALUE"""),"ZS20")</f>
        <v>ZS20</v>
      </c>
      <c r="B101" s="22" t="str">
        <f>IFERROR(__xludf.DUMMYFUNCTION("""COMPUTED_VALUE"""),"Szimen tov")</f>
        <v>Szimen tov</v>
      </c>
      <c r="C101" s="22" t="str">
        <f>IFERROR(__xludf.DUMMYFUNCTION("""COMPUTED_VALUE"""),"סימן טוב")</f>
        <v>סימן טוב</v>
      </c>
      <c r="D101"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02">
      <c r="A102" s="22" t="str">
        <f>IFERROR(__xludf.DUMMYFUNCTION("""COMPUTED_VALUE"""),"T18")</f>
        <v>T18</v>
      </c>
      <c r="B102" s="22" t="str">
        <f>IFERROR(__xludf.DUMMYFUNCTION("""COMPUTED_VALUE"""),"Tábortűz")</f>
        <v>Tábortűz</v>
      </c>
      <c r="C102" s="22"/>
      <c r="D102"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03">
      <c r="A103" s="22" t="str">
        <f>IFERROR(__xludf.DUMMYFUNCTION("""COMPUTED_VALUE"""),"N03")</f>
        <v>N03</v>
      </c>
      <c r="B103" s="22" t="str">
        <f>IFERROR(__xludf.DUMMYFUNCTION("""COMPUTED_VALUE"""),"Általmennék én a Tiszán ladikon")</f>
        <v>Általmennék én a Tiszán ladikon</v>
      </c>
      <c r="C103" s="22"/>
      <c r="D103"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04">
      <c r="A104" s="22" t="str">
        <f>IFERROR(__xludf.DUMMYFUNCTION("""COMPUTED_VALUE"""),"T70")</f>
        <v>T70</v>
      </c>
      <c r="B104" s="22" t="str">
        <f>IFERROR(__xludf.DUMMYFUNCTION("""COMPUTED_VALUE"""),"Ohio")</f>
        <v>Ohio</v>
      </c>
      <c r="C104" s="22"/>
      <c r="D104"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05">
      <c r="A105" s="22" t="str">
        <f>IFERROR(__xludf.DUMMYFUNCTION("""COMPUTED_VALUE"""),"T37")</f>
        <v>T37</v>
      </c>
      <c r="B105" s="22" t="str">
        <f>IFERROR(__xludf.DUMMYFUNCTION("""COMPUTED_VALUE"""),"Ha az életben ")</f>
        <v>Ha az életben </v>
      </c>
      <c r="C105" s="22"/>
      <c r="D105"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106">
      <c r="A106" s="22" t="str">
        <f>IFERROR(__xludf.DUMMYFUNCTION("""COMPUTED_VALUE"""),"T02")</f>
        <v>T02</v>
      </c>
      <c r="B106" s="22" t="str">
        <f>IFERROR(__xludf.DUMMYFUNCTION("""COMPUTED_VALUE"""),"8 óra munka")</f>
        <v>8 óra munka</v>
      </c>
      <c r="C106" s="22"/>
      <c r="D106" s="22"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107">
      <c r="A107" s="22" t="str">
        <f>IFERROR(__xludf.DUMMYFUNCTION("""COMPUTED_VALUE"""),"T21")</f>
        <v>T21</v>
      </c>
      <c r="B107" s="22" t="str">
        <f>IFERROR(__xludf.DUMMYFUNCTION("""COMPUTED_VALUE"""),"Az utcán")</f>
        <v>Az utcán</v>
      </c>
      <c r="C107" s="22"/>
      <c r="D107"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108">
      <c r="A108" s="22" t="str">
        <f>IFERROR(__xludf.DUMMYFUNCTION("""COMPUTED_VALUE"""),"N02")</f>
        <v>N02</v>
      </c>
      <c r="B108" s="22" t="str">
        <f>IFERROR(__xludf.DUMMYFUNCTION("""COMPUTED_VALUE"""),"A szennai lipisen, laposon")</f>
        <v>A szennai lipisen, laposon</v>
      </c>
      <c r="C108" s="22"/>
      <c r="D108"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09">
      <c r="A109" s="22" t="str">
        <f>IFERROR(__xludf.DUMMYFUNCTION("""COMPUTED_VALUE"""),"T68")</f>
        <v>T68</v>
      </c>
      <c r="B109" s="22" t="str">
        <f>IFERROR(__xludf.DUMMYFUNCTION("""COMPUTED_VALUE"""),"Vigyázz a madárra")</f>
        <v>Vigyázz a madárra</v>
      </c>
      <c r="C109" s="22"/>
      <c r="D109"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10">
      <c r="A110" s="22" t="str">
        <f>IFERROR(__xludf.DUMMYFUNCTION("""COMPUTED_VALUE"""),"T20")</f>
        <v>T20</v>
      </c>
      <c r="B110" s="22" t="str">
        <f>IFERROR(__xludf.DUMMYFUNCTION("""COMPUTED_VALUE"""),"Teljesség felé")</f>
        <v>Teljesség felé</v>
      </c>
      <c r="C110" s="22" t="str">
        <f>IFERROR(__xludf.DUMMYFUNCTION("""COMPUTED_VALUE"""),"(1/2)")</f>
        <v>(1/2)</v>
      </c>
      <c r="D110" s="22"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j"&amp;"árok és próbálok leszokni mindenről 
  D                  A                Bm                G
a falnak támaszkodva szívom az utolsó slukkot az utolsó cigimből, 
        D           A               Bm         G
mielőtt elnyomnám a csikket, mint a kisebbre"&amp;"ndűségit 
D                A                   Bm                       G
fiatal vagyok és fáradt, de legalább értem, hogy miért vagyok még itt 
D          A        Bm        G      D        A  Bm  G
akármilyen meglepő, mégiscsak ezek a legszebb éveink 
"&amp;"D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"&amp;" A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11">
      <c r="A111" s="22" t="str">
        <f>IFERROR(__xludf.DUMMYFUNCTION("""COMPUTED_VALUE"""),"T11")</f>
        <v>T11</v>
      </c>
      <c r="B111" s="22" t="str">
        <f>IFERROR(__xludf.DUMMYFUNCTION("""COMPUTED_VALUE"""),"Jég dupla whiskyvel")</f>
        <v>Jég dupla whiskyvel</v>
      </c>
      <c r="C111" s="22"/>
      <c r="D111"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112">
      <c r="A112" s="22" t="str">
        <f>IFERROR(__xludf.DUMMYFUNCTION("""COMPUTED_VALUE"""),"ZS13")</f>
        <v>ZS13</v>
      </c>
      <c r="B112" s="22" t="str">
        <f>IFERROR(__xludf.DUMMYFUNCTION("""COMPUTED_VALUE"""),"Lehá Dodi")</f>
        <v>Lehá Dodi</v>
      </c>
      <c r="C112" s="22" t="str">
        <f>IFERROR(__xludf.DUMMYFUNCTION("""COMPUTED_VALUE"""),"לכה דודי")</f>
        <v>לכה דודי</v>
      </c>
      <c r="D112"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113">
      <c r="A113" s="22" t="str">
        <f>IFERROR(__xludf.DUMMYFUNCTION("""COMPUTED_VALUE"""),"T53")</f>
        <v>T53</v>
      </c>
      <c r="B113" s="22" t="str">
        <f>IFERROR(__xludf.DUMMYFUNCTION("""COMPUTED_VALUE"""),"Bella ciao")</f>
        <v>Bella ciao</v>
      </c>
      <c r="C113" s="22" t="str">
        <f>IFERROR(__xludf.DUMMYFUNCTION("""COMPUTED_VALUE"""),"(2/2)")</f>
        <v>(2/2)</v>
      </c>
      <c r="D113" s="22" t="str">
        <f>IFERROR(__xludf.DUMMYFUNCTION("""COMPUTED_VALUE"""),"Dm     
A hegyvidéken temess el engem,
         F                      A7          
Ó bella ciao, bella ciao, bella ciao, ciao, ciao,
   C7          F  
A hegyvidéken temess el engem,
        A7      Dm
Legyen virág a síromon.
Dm     
Az ő virága, a part"&amp;"izáné,
         F                      A7          
Ó bella ciao, bella ciao, bella ciao, ciao, ciao,
   C7          F  
Az ő virága, a partizáné,
        A7         Dm
Ki a szabadságért halt meg.")</f>
        <v>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114">
      <c r="A114" s="22" t="str">
        <f>IFERROR(__xludf.DUMMYFUNCTION("""COMPUTED_VALUE"""),"N01")</f>
        <v>N01</v>
      </c>
      <c r="B114" s="22" t="str">
        <f>IFERROR(__xludf.DUMMYFUNCTION("""COMPUTED_VALUE"""),"A bolhási kertek alatt Kata")</f>
        <v>A bolhási kertek alatt Kata</v>
      </c>
      <c r="C114" s="22"/>
      <c r="D114"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115">
      <c r="A115" s="22" t="str">
        <f>IFERROR(__xludf.DUMMYFUNCTION("""COMPUTED_VALUE"""),"T53")</f>
        <v>T53</v>
      </c>
      <c r="B115" s="22" t="str">
        <f>IFERROR(__xludf.DUMMYFUNCTION("""COMPUTED_VALUE"""),"Bella ciao")</f>
        <v>Bella ciao</v>
      </c>
      <c r="C115" s="22" t="str">
        <f>IFERROR(__xludf.DUMMYFUNCTION("""COMPUTED_VALUE"""),"(1/2)")</f>
        <v>(1/2)</v>
      </c>
      <c r="D115"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v>
      </c>
    </row>
    <row r="116">
      <c r="A116" s="22" t="str">
        <f>IFERROR(__xludf.DUMMYFUNCTION("""COMPUTED_VALUE"""),"H04")</f>
        <v>H04</v>
      </c>
      <c r="B116" s="22" t="str">
        <f>IFERROR(__xludf.DUMMYFUNCTION("""COMPUTED_VALUE"""),"Básáná hábáá")</f>
        <v>Básáná hábáá</v>
      </c>
      <c r="C116" s="22" t="str">
        <f>IFERROR(__xludf.DUMMYFUNCTION("""COMPUTED_VALUE"""),"בשנה הבאה")</f>
        <v>בשנה הבאה</v>
      </c>
      <c r="D116"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117">
      <c r="A117" s="22" t="str">
        <f>IFERROR(__xludf.DUMMYFUNCTION("""COMPUTED_VALUE"""),"T76")</f>
        <v>T76</v>
      </c>
      <c r="B117" s="22" t="str">
        <f>IFERROR(__xludf.DUMMYFUNCTION("""COMPUTED_VALUE"""),"Amikor elmentél tőlem")</f>
        <v>Amikor elmentél tőlem</v>
      </c>
      <c r="C117" s="22"/>
      <c r="D117"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18">
      <c r="A118" s="22" t="str">
        <f>IFERROR(__xludf.DUMMYFUNCTION("""COMPUTED_VALUE"""),"S07")</f>
        <v>S07</v>
      </c>
      <c r="B118" s="22" t="str">
        <f>IFERROR(__xludf.DUMMYFUNCTION("""COMPUTED_VALUE"""),"A partizánok dala")</f>
        <v>A partizánok dala</v>
      </c>
      <c r="C118" s="22"/>
      <c r="D118"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19">
      <c r="A119" s="22" t="str">
        <f>IFERROR(__xludf.DUMMYFUNCTION("""COMPUTED_VALUE"""),"ZS09")</f>
        <v>ZS09</v>
      </c>
      <c r="B119" s="22" t="str">
        <f>IFERROR(__xludf.DUMMYFUNCTION("""COMPUTED_VALUE"""),"Sálom álehem")</f>
        <v>Sálom álehem</v>
      </c>
      <c r="C119" s="22" t="str">
        <f>IFERROR(__xludf.DUMMYFUNCTION("""COMPUTED_VALUE"""),"שלום עליכם")</f>
        <v>שלום עליכם</v>
      </c>
      <c r="D119"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20">
      <c r="A120" s="22" t="str">
        <f>IFERROR(__xludf.DUMMYFUNCTION("""COMPUTED_VALUE"""),"H05")</f>
        <v>H05</v>
      </c>
      <c r="B120" s="22" t="str">
        <f>IFERROR(__xludf.DUMMYFUNCTION("""COMPUTED_VALUE"""),"Bói")</f>
        <v>Bói</v>
      </c>
      <c r="C120" s="22" t="str">
        <f>IFERROR(__xludf.DUMMYFUNCTION("""COMPUTED_VALUE"""),"בואי")</f>
        <v>בואי</v>
      </c>
      <c r="D120"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121">
      <c r="A121" s="22" t="str">
        <f>IFERROR(__xludf.DUMMYFUNCTION("""COMPUTED_VALUE"""),"S06")</f>
        <v>S06</v>
      </c>
      <c r="B121" s="22" t="str">
        <f>IFERROR(__xludf.DUMMYFUNCTION("""COMPUTED_VALUE"""),"Sir hápártizánim")</f>
        <v>Sir hápártizánim</v>
      </c>
      <c r="C121" s="22" t="str">
        <f>IFERROR(__xludf.DUMMYFUNCTION("""COMPUTED_VALUE"""),"שיר הפרטיזנים")</f>
        <v>שיר הפרטיזנים</v>
      </c>
      <c r="D121"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22">
      <c r="A122" s="22" t="str">
        <f>IFERROR(__xludf.DUMMYFUNCTION("""COMPUTED_VALUE"""),"ZS21")</f>
        <v>ZS21</v>
      </c>
      <c r="B122" s="22" t="str">
        <f>IFERROR(__xludf.DUMMYFUNCTION("""COMPUTED_VALUE"""),"Szól a kakas már")</f>
        <v>Szól a kakas már</v>
      </c>
      <c r="C122" s="22"/>
      <c r="D122"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23">
      <c r="A123" s="22" t="str">
        <f>IFERROR(__xludf.DUMMYFUNCTION("""COMPUTED_VALUE"""),"H03")</f>
        <v>H03</v>
      </c>
      <c r="B123" s="22" t="str">
        <f>IFERROR(__xludf.DUMMYFUNCTION("""COMPUTED_VALUE"""),"Áni ve ata")</f>
        <v>Áni ve ata</v>
      </c>
      <c r="C123" s="22" t="str">
        <f>IFERROR(__xludf.DUMMYFUNCTION("""COMPUTED_VALUE"""),"אני ואתה")</f>
        <v>אני ואתה</v>
      </c>
      <c r="D123"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24">
      <c r="A124" s="22" t="str">
        <f>IFERROR(__xludf.DUMMYFUNCTION("""COMPUTED_VALUE"""),"ZS04")</f>
        <v>ZS04</v>
      </c>
      <c r="B124" s="22" t="str">
        <f>IFERROR(__xludf.DUMMYFUNCTION("""COMPUTED_VALUE"""),"Szevivon, szov szov szov")</f>
        <v>Szevivon, szov szov szov</v>
      </c>
      <c r="C124" s="22" t="str">
        <f>IFERROR(__xludf.DUMMYFUNCTION("""COMPUTED_VALUE"""),"סביבון סוב סוב סוב")</f>
        <v>סביבון סוב סוב סוב</v>
      </c>
      <c r="D124"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25">
      <c r="A125" s="22" t="str">
        <f>IFERROR(__xludf.DUMMYFUNCTION("""COMPUTED_VALUE"""),"T64")</f>
        <v>T64</v>
      </c>
      <c r="B125" s="22" t="str">
        <f>IFERROR(__xludf.DUMMYFUNCTION("""COMPUTED_VALUE"""),"Fáj a szívem érted")</f>
        <v>Fáj a szívem érted</v>
      </c>
      <c r="C125" s="22"/>
      <c r="D125"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126">
      <c r="A126" s="22" t="str">
        <f>IFERROR(__xludf.DUMMYFUNCTION("""COMPUTED_VALUE"""),"T74")</f>
        <v>T74</v>
      </c>
      <c r="B126" s="22" t="str">
        <f>IFERROR(__xludf.DUMMYFUNCTION("""COMPUTED_VALUE"""),"Örökké tart")</f>
        <v>Örökké tart</v>
      </c>
      <c r="C126" s="22" t="str">
        <f>IFERROR(__xludf.DUMMYFUNCTION("""COMPUTED_VALUE"""),"(2/2)")</f>
        <v>(2/2)</v>
      </c>
      <c r="D126"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row r="127">
      <c r="A127" s="22" t="str">
        <f>IFERROR(__xludf.DUMMYFUNCTION("""COMPUTED_VALUE"""),"T74")</f>
        <v>T74</v>
      </c>
      <c r="B127" s="22" t="str">
        <f>IFERROR(__xludf.DUMMYFUNCTION("""COMPUTED_VALUE"""),"Örökké tart")</f>
        <v>Örökké tart</v>
      </c>
      <c r="C127" s="22" t="str">
        <f>IFERROR(__xludf.DUMMYFUNCTION("""COMPUTED_VALUE"""),"(1/2)")</f>
        <v>(1/2)</v>
      </c>
      <c r="D127"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28">
      <c r="A128" s="22" t="str">
        <f>IFERROR(__xludf.DUMMYFUNCTION("""COMPUTED_VALUE"""),"ZS01")</f>
        <v>ZS01</v>
      </c>
      <c r="B128" s="22" t="str">
        <f>IFERROR(__xludf.DUMMYFUNCTION("""COMPUTED_VALUE"""),"Ádon olam")</f>
        <v>Ádon olam</v>
      </c>
      <c r="C128" s="22" t="str">
        <f>IFERROR(__xludf.DUMMYFUNCTION("""COMPUTED_VALUE"""),"אדון עולם")</f>
        <v>אדון עולם</v>
      </c>
      <c r="D128"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29">
      <c r="A129" s="22" t="str">
        <f>IFERROR(__xludf.DUMMYFUNCTION("""COMPUTED_VALUE"""),"ZS18")</f>
        <v>ZS18</v>
      </c>
      <c r="B129" s="22" t="str">
        <f>IFERROR(__xludf.DUMMYFUNCTION("""COMPUTED_VALUE"""),"Lesana habaa")</f>
        <v>Lesana habaa</v>
      </c>
      <c r="C129" s="22" t="str">
        <f>IFERROR(__xludf.DUMMYFUNCTION("""COMPUTED_VALUE"""),"לשנה הבאה")</f>
        <v>לשנה הבאה</v>
      </c>
      <c r="D129"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30">
      <c r="A130" s="22" t="str">
        <f>IFERROR(__xludf.DUMMYFUNCTION("""COMPUTED_VALUE"""),"T24")</f>
        <v>T24</v>
      </c>
      <c r="B130" s="22" t="str">
        <f>IFERROR(__xludf.DUMMYFUNCTION("""COMPUTED_VALUE"""),"Oj, tízen voltunk mi testvérek")</f>
        <v>Oj, tízen voltunk mi testvérek</v>
      </c>
      <c r="C130" s="22" t="str">
        <f>IFERROR(__xludf.DUMMYFUNCTION("""COMPUTED_VALUE"""),"(1/2)")</f>
        <v>(1/2)</v>
      </c>
      <c r="D130"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31">
      <c r="A131" s="22" t="str">
        <f>IFERROR(__xludf.DUMMYFUNCTION("""COMPUTED_VALUE"""),"T61")</f>
        <v>T61</v>
      </c>
      <c r="B131" s="22" t="str">
        <f>IFERROR(__xludf.DUMMYFUNCTION("""COMPUTED_VALUE"""),"Sehol se talállak ")</f>
        <v>Sehol se talállak </v>
      </c>
      <c r="C131" s="22"/>
      <c r="D131"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2">
      <c r="A132" s="22" t="str">
        <f>IFERROR(__xludf.DUMMYFUNCTION("""COMPUTED_VALUE"""),"K06")</f>
        <v>K06</v>
      </c>
      <c r="B132" s="22" t="str">
        <f>IFERROR(__xludf.DUMMYFUNCTION("""COMPUTED_VALUE"""),"Drunken sailor")</f>
        <v>Drunken sailor</v>
      </c>
      <c r="C132" s="22"/>
      <c r="D132"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133">
      <c r="A133" s="22" t="str">
        <f>IFERROR(__xludf.DUMMYFUNCTION("""COMPUTED_VALUE"""),"K11")</f>
        <v>K11</v>
      </c>
      <c r="B133" s="22" t="str">
        <f>IFERROR(__xludf.DUMMYFUNCTION("""COMPUTED_VALUE"""),"Mad World ")</f>
        <v>Mad World </v>
      </c>
      <c r="C133" s="22"/>
      <c r="D133"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34">
      <c r="A134" s="22" t="str">
        <f>IFERROR(__xludf.DUMMYFUNCTION("""COMPUTED_VALUE"""),"T12")</f>
        <v>T12</v>
      </c>
      <c r="B134" s="22" t="str">
        <f>IFERROR(__xludf.DUMMYFUNCTION("""COMPUTED_VALUE"""),"Budapest")</f>
        <v>Budapest</v>
      </c>
      <c r="C134" s="22" t="str">
        <f>IFERROR(__xludf.DUMMYFUNCTION("""COMPUTED_VALUE"""),"(2/2)")</f>
        <v>(2/2)</v>
      </c>
      <c r="D134"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135">
      <c r="A135" s="22" t="str">
        <f>IFERROR(__xludf.DUMMYFUNCTION("""COMPUTED_VALUE"""),"T08")</f>
        <v>T08</v>
      </c>
      <c r="B135" s="22" t="str">
        <f>IFERROR(__xludf.DUMMYFUNCTION("""COMPUTED_VALUE"""),"Mit tehetnék érted ")</f>
        <v>Mit tehetnék érted </v>
      </c>
      <c r="C135" s="22"/>
      <c r="D135"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36">
      <c r="A136" s="22" t="str">
        <f>IFERROR(__xludf.DUMMYFUNCTION("""COMPUTED_VALUE"""),"T52")</f>
        <v>T52</v>
      </c>
      <c r="B136" s="22" t="str">
        <f>IFERROR(__xludf.DUMMYFUNCTION("""COMPUTED_VALUE"""),"Jó nekem")</f>
        <v>Jó nekem</v>
      </c>
      <c r="C136" s="22" t="str">
        <f>IFERROR(__xludf.DUMMYFUNCTION("""COMPUTED_VALUE"""),"(2/2)")</f>
        <v>(2/2)</v>
      </c>
      <c r="D136" s="22"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37">
      <c r="A137" s="22" t="str">
        <f>IFERROR(__xludf.DUMMYFUNCTION("""COMPUTED_VALUE"""),"T27")</f>
        <v>T27</v>
      </c>
      <c r="B137" s="22" t="str">
        <f>IFERROR(__xludf.DUMMYFUNCTION("""COMPUTED_VALUE"""),"Ó, ne vidd el… ")</f>
        <v>Ó, ne vidd el… </v>
      </c>
      <c r="C137" s="22"/>
      <c r="D137"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38">
      <c r="A138" s="22" t="str">
        <f>IFERROR(__xludf.DUMMYFUNCTION("""COMPUTED_VALUE"""),"S05")</f>
        <v>S05</v>
      </c>
      <c r="B138" s="22" t="str">
        <f>IFERROR(__xludf.DUMMYFUNCTION("""COMPUTED_VALUE"""),"Cserkész Altató")</f>
        <v>Cserkész Altató</v>
      </c>
      <c r="C138" s="22"/>
      <c r="D138"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139">
      <c r="A139" s="22" t="str">
        <f>IFERROR(__xludf.DUMMYFUNCTION("""COMPUTED_VALUE"""),"T28")</f>
        <v>T28</v>
      </c>
      <c r="B139" s="22" t="str">
        <f>IFERROR(__xludf.DUMMYFUNCTION("""COMPUTED_VALUE"""),"Csonka vers")</f>
        <v>Csonka vers</v>
      </c>
      <c r="C139" s="22"/>
      <c r="D139"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140">
      <c r="A140" s="22" t="str">
        <f>IFERROR(__xludf.DUMMYFUNCTION("""COMPUTED_VALUE"""),"T13")</f>
        <v>T13</v>
      </c>
      <c r="B140" s="22" t="str">
        <f>IFERROR(__xludf.DUMMYFUNCTION("""COMPUTED_VALUE"""),"Csönded vagyok")</f>
        <v>Csönded vagyok</v>
      </c>
      <c r="C140" s="22"/>
      <c r="D140"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141">
      <c r="A141" s="22" t="str">
        <f>IFERROR(__xludf.DUMMYFUNCTION("""COMPUTED_VALUE"""),"T04")</f>
        <v>T04</v>
      </c>
      <c r="B141" s="22" t="str">
        <f>IFERROR(__xludf.DUMMYFUNCTION("""COMPUTED_VALUE"""),"Közeli helyeken ")</f>
        <v>Közeli helyeken </v>
      </c>
      <c r="C141" s="22"/>
      <c r="D141"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142">
      <c r="A142" s="22" t="str">
        <f>IFERROR(__xludf.DUMMYFUNCTION("""COMPUTED_VALUE"""),"T30")</f>
        <v>T30</v>
      </c>
      <c r="B142" s="22" t="str">
        <f>IFERROR(__xludf.DUMMYFUNCTION("""COMPUTED_VALUE"""),"Afrika")</f>
        <v>Afrika</v>
      </c>
      <c r="C142" s="22"/>
      <c r="D142"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43">
      <c r="A143" s="22" t="str">
        <f>IFERROR(__xludf.DUMMYFUNCTION("""COMPUTED_VALUE"""),"T52")</f>
        <v>T52</v>
      </c>
      <c r="B143" s="22" t="str">
        <f>IFERROR(__xludf.DUMMYFUNCTION("""COMPUTED_VALUE"""),"Jó nekem")</f>
        <v>Jó nekem</v>
      </c>
      <c r="C143" s="22" t="str">
        <f>IFERROR(__xludf.DUMMYFUNCTION("""COMPUTED_VALUE"""),"(1/2)")</f>
        <v>(1/2)</v>
      </c>
      <c r="D143"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44">
      <c r="A144" s="22" t="str">
        <f>IFERROR(__xludf.DUMMYFUNCTION("""COMPUTED_VALUE"""),"T14")</f>
        <v>T14</v>
      </c>
      <c r="B144" s="22" t="str">
        <f>IFERROR(__xludf.DUMMYFUNCTION("""COMPUTED_VALUE"""),"Én vagyok az aki nem jó ")</f>
        <v>Én vagyok az aki nem jó </v>
      </c>
      <c r="C144" s="22"/>
      <c r="D144"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45">
      <c r="A145" s="22" t="str">
        <f>IFERROR(__xludf.DUMMYFUNCTION("""COMPUTED_VALUE"""),"T12")</f>
        <v>T12</v>
      </c>
      <c r="B145" s="22" t="str">
        <f>IFERROR(__xludf.DUMMYFUNCTION("""COMPUTED_VALUE"""),"Budapest")</f>
        <v>Budapest</v>
      </c>
      <c r="C145" s="22" t="str">
        <f>IFERROR(__xludf.DUMMYFUNCTION("""COMPUTED_VALUE"""),"(1/2)")</f>
        <v>(1/2)</v>
      </c>
      <c r="D145"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146">
      <c r="A146" s="22" t="str">
        <f>IFERROR(__xludf.DUMMYFUNCTION("""COMPUTED_VALUE"""),"K03")</f>
        <v>K03</v>
      </c>
      <c r="B146" s="22" t="str">
        <f>IFERROR(__xludf.DUMMYFUNCTION("""COMPUTED_VALUE"""),"Yesterday")</f>
        <v>Yesterday</v>
      </c>
      <c r="C146" s="22"/>
      <c r="D146"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47">
      <c r="A147" s="22" t="str">
        <f>IFERROR(__xludf.DUMMYFUNCTION("""COMPUTED_VALUE"""),"T54")</f>
        <v>T54</v>
      </c>
      <c r="B147" s="22" t="str">
        <f>IFERROR(__xludf.DUMMYFUNCTION("""COMPUTED_VALUE"""),"Petróleumlámpa ")</f>
        <v>Petróleumlámpa </v>
      </c>
      <c r="C147" s="22"/>
      <c r="D147"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48">
      <c r="A148" s="22" t="str">
        <f>IFERROR(__xludf.DUMMYFUNCTION("""COMPUTED_VALUE"""),"T60")</f>
        <v>T60</v>
      </c>
      <c r="B148" s="22" t="str">
        <f>IFERROR(__xludf.DUMMYFUNCTION("""COMPUTED_VALUE"""),"Most múlik pontosan")</f>
        <v>Most múlik pontosan</v>
      </c>
      <c r="C148" s="22"/>
      <c r="D148"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49">
      <c r="A149" s="22" t="str">
        <f>IFERROR(__xludf.DUMMYFUNCTION("""COMPUTED_VALUE"""),"V02")</f>
        <v>V02</v>
      </c>
      <c r="B149" s="22" t="str">
        <f>IFERROR(__xludf.DUMMYFUNCTION("""COMPUTED_VALUE"""),"Shosholozá")</f>
        <v>Shosholozá</v>
      </c>
      <c r="C149" s="22"/>
      <c r="D149"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50">
      <c r="A150" s="22" t="str">
        <f>IFERROR(__xludf.DUMMYFUNCTION("""COMPUTED_VALUE"""),"T43")</f>
        <v>T43</v>
      </c>
      <c r="B150" s="22" t="str">
        <f>IFERROR(__xludf.DUMMYFUNCTION("""COMPUTED_VALUE"""),"Mindenki másképp csinálja")</f>
        <v>Mindenki másképp csinálja</v>
      </c>
      <c r="C150" s="22" t="str">
        <f>IFERROR(__xludf.DUMMYFUNCTION("""COMPUTED_VALUE"""),"(2/2)")</f>
        <v>(2/2)</v>
      </c>
      <c r="D150" s="22"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51">
      <c r="A151" s="22" t="str">
        <f>IFERROR(__xludf.DUMMYFUNCTION("""COMPUTED_VALUE"""),"T43")</f>
        <v>T43</v>
      </c>
      <c r="B151" s="22" t="str">
        <f>IFERROR(__xludf.DUMMYFUNCTION("""COMPUTED_VALUE"""),"Mindenki másképp csinálja")</f>
        <v>Mindenki másképp csinálja</v>
      </c>
      <c r="C151" s="22" t="str">
        <f>IFERROR(__xludf.DUMMYFUNCTION("""COMPUTED_VALUE"""),"(1/2)")</f>
        <v>(1/2)</v>
      </c>
      <c r="D151"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52">
      <c r="A152" s="22" t="str">
        <f>IFERROR(__xludf.DUMMYFUNCTION("""COMPUTED_VALUE"""),"T50")</f>
        <v>T50</v>
      </c>
      <c r="B152" s="22" t="str">
        <f>IFERROR(__xludf.DUMMYFUNCTION("""COMPUTED_VALUE"""),"Csúzli dal")</f>
        <v>Csúzli dal</v>
      </c>
      <c r="C152" s="22" t="str">
        <f>IFERROR(__xludf.DUMMYFUNCTION("""COMPUTED_VALUE"""),"(1/2)")</f>
        <v>(1/2)</v>
      </c>
      <c r="D152"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153">
      <c r="A153" s="22" t="str">
        <f>IFERROR(__xludf.DUMMYFUNCTION("""COMPUTED_VALUE"""),"T50")</f>
        <v>T50</v>
      </c>
      <c r="B153" s="22" t="str">
        <f>IFERROR(__xludf.DUMMYFUNCTION("""COMPUTED_VALUE"""),"Csúzli dal")</f>
        <v>Csúzli dal</v>
      </c>
      <c r="C153" s="22" t="str">
        <f>IFERROR(__xludf.DUMMYFUNCTION("""COMPUTED_VALUE"""),"(2/2)")</f>
        <v>(2/2)</v>
      </c>
      <c r="D153"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154">
      <c r="A154" s="22" t="str">
        <f>IFERROR(__xludf.DUMMYFUNCTION("""COMPUTED_VALUE"""),"T62")</f>
        <v>T62</v>
      </c>
      <c r="B154" s="22" t="str">
        <f>IFERROR(__xludf.DUMMYFUNCTION("""COMPUTED_VALUE"""),"67-es út ")</f>
        <v>67-es út </v>
      </c>
      <c r="C154" s="22"/>
      <c r="D154"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155">
      <c r="A155" s="22" t="str">
        <f>IFERROR(__xludf.DUMMYFUNCTION("""COMPUTED_VALUE"""),"T47")</f>
        <v>T47</v>
      </c>
      <c r="B155" s="22" t="str">
        <f>IFERROR(__xludf.DUMMYFUNCTION("""COMPUTED_VALUE"""),"Azért vannak a jó barátok")</f>
        <v>Azért vannak a jó barátok</v>
      </c>
      <c r="C155" s="22"/>
      <c r="D155"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156">
      <c r="A156" s="22" t="str">
        <f>IFERROR(__xludf.DUMMYFUNCTION("""COMPUTED_VALUE"""),"K05")</f>
        <v>K05</v>
      </c>
      <c r="B156" s="22" t="str">
        <f>IFERROR(__xludf.DUMMYFUNCTION("""COMPUTED_VALUE"""),"Knocking on heaven's door")</f>
        <v>Knocking on heaven's door</v>
      </c>
      <c r="C156" s="22"/>
      <c r="D156"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157">
      <c r="A157" s="22" t="str">
        <f>IFERROR(__xludf.DUMMYFUNCTION("""COMPUTED_VALUE"""),"V01")</f>
        <v>V01</v>
      </c>
      <c r="B157" s="22" t="str">
        <f>IFERROR(__xludf.DUMMYFUNCTION("""COMPUTED_VALUE"""),"Sijáhámbá")</f>
        <v>Sijáhámbá</v>
      </c>
      <c r="C157" s="22"/>
      <c r="D157"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58">
      <c r="A158" s="22" t="str">
        <f>IFERROR(__xludf.DUMMYFUNCTION("""COMPUTED_VALUE"""),"T05")</f>
        <v>T05</v>
      </c>
      <c r="B158" s="22" t="str">
        <f>IFERROR(__xludf.DUMMYFUNCTION("""COMPUTED_VALUE"""),"Csavargódal")</f>
        <v>Csavargódal</v>
      </c>
      <c r="C158" s="22"/>
      <c r="D158"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159">
      <c r="A159" s="22" t="str">
        <f>IFERROR(__xludf.DUMMYFUNCTION("""COMPUTED_VALUE"""),"N04")</f>
        <v>N04</v>
      </c>
      <c r="B159" s="22" t="str">
        <f>IFERROR(__xludf.DUMMYFUNCTION("""COMPUTED_VALUE"""),"Erdő, erdő, erdő")</f>
        <v>Erdő, erdő, erdő</v>
      </c>
      <c r="C159" s="22"/>
      <c r="D159"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160">
      <c r="A160" s="22" t="str">
        <f>IFERROR(__xludf.DUMMYFUNCTION("""COMPUTED_VALUE"""),"K10")</f>
        <v>K10</v>
      </c>
      <c r="B160" s="22" t="str">
        <f>IFERROR(__xludf.DUMMYFUNCTION("""COMPUTED_VALUE"""),"As tears go by")</f>
        <v>As tears go by</v>
      </c>
      <c r="C160" s="22"/>
      <c r="D160"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61">
      <c r="A161" s="22" t="str">
        <f>IFERROR(__xludf.DUMMYFUNCTION("""COMPUTED_VALUE"""),"S03")</f>
        <v>S03</v>
      </c>
      <c r="B161" s="22" t="str">
        <f>IFERROR(__xludf.DUMMYFUNCTION("""COMPUTED_VALUE"""),"Minden fejre áll ")</f>
        <v>Minden fejre áll </v>
      </c>
      <c r="C161" s="22"/>
      <c r="D161"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62">
      <c r="A162" s="22" t="str">
        <f>IFERROR(__xludf.DUMMYFUNCTION("""COMPUTED_VALUE"""),"ZS19")</f>
        <v>ZS19</v>
      </c>
      <c r="B162" s="22" t="str">
        <f>IFERROR(__xludf.DUMMYFUNCTION("""COMPUTED_VALUE"""),"Má jáfe hájom")</f>
        <v>Má jáfe hájom</v>
      </c>
      <c r="C162" s="22" t="str">
        <f>IFERROR(__xludf.DUMMYFUNCTION("""COMPUTED_VALUE"""),"מה יפה היום")</f>
        <v>מה יפה היום</v>
      </c>
      <c r="D162"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63">
      <c r="A163" s="22" t="str">
        <f>IFERROR(__xludf.DUMMYFUNCTION("""COMPUTED_VALUE"""),"K07")</f>
        <v>K07</v>
      </c>
      <c r="B163" s="22" t="str">
        <f>IFERROR(__xludf.DUMMYFUNCTION("""COMPUTED_VALUE"""),"Somewhere Over the Rainbow")</f>
        <v>Somewhere Over the Rainbow</v>
      </c>
      <c r="C163" s="22"/>
      <c r="D163"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64">
      <c r="A164" s="22" t="str">
        <f>IFERROR(__xludf.DUMMYFUNCTION("""COMPUTED_VALUE"""),"T67")</f>
        <v>T67</v>
      </c>
      <c r="B164" s="22" t="str">
        <f>IFERROR(__xludf.DUMMYFUNCTION("""COMPUTED_VALUE"""),"Szeretni valakit valamiért ")</f>
        <v>Szeretni valakit valamiért </v>
      </c>
      <c r="C164" s="22"/>
      <c r="D164"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65">
      <c r="A165" s="22" t="str">
        <f>IFERROR(__xludf.DUMMYFUNCTION("""COMPUTED_VALUE"""),"T06")</f>
        <v>T06</v>
      </c>
      <c r="B165" s="22" t="str">
        <f>IFERROR(__xludf.DUMMYFUNCTION("""COMPUTED_VALUE"""),"Vigyázz magadra fiam")</f>
        <v>Vigyázz magadra fiam</v>
      </c>
      <c r="C165" s="22"/>
      <c r="D165"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66">
      <c r="A166" s="22" t="str">
        <f>IFERROR(__xludf.DUMMYFUNCTION("""COMPUTED_VALUE"""),"T31")</f>
        <v>T31</v>
      </c>
      <c r="B166" s="22" t="str">
        <f>IFERROR(__xludf.DUMMYFUNCTION("""COMPUTED_VALUE"""),"Bál az Operában")</f>
        <v>Bál az Operában</v>
      </c>
      <c r="C166" s="22" t="str">
        <f>IFERROR(__xludf.DUMMYFUNCTION("""COMPUTED_VALUE"""),"(1/2)")</f>
        <v>(1/2)</v>
      </c>
      <c r="D166"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167">
      <c r="A167" s="22" t="str">
        <f>IFERROR(__xludf.DUMMYFUNCTION("""COMPUTED_VALUE"""),"T31")</f>
        <v>T31</v>
      </c>
      <c r="B167" s="22" t="str">
        <f>IFERROR(__xludf.DUMMYFUNCTION("""COMPUTED_VALUE"""),"Bál az Operában")</f>
        <v>Bál az Operában</v>
      </c>
      <c r="C167" s="22" t="str">
        <f>IFERROR(__xludf.DUMMYFUNCTION("""COMPUTED_VALUE"""),"(2/2)")</f>
        <v>(2/2)</v>
      </c>
      <c r="D167" s="22"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168">
      <c r="A168" s="22" t="str">
        <f>IFERROR(__xludf.DUMMYFUNCTION("""COMPUTED_VALUE"""),"S02")</f>
        <v>S02</v>
      </c>
      <c r="B168" s="22" t="str">
        <f>IFERROR(__xludf.DUMMYFUNCTION("""COMPUTED_VALUE"""),"Hine kulanu….")</f>
        <v>Hine kulanu….</v>
      </c>
      <c r="C168" s="22"/>
      <c r="D168"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169">
      <c r="A169" s="22" t="str">
        <f>IFERROR(__xludf.DUMMYFUNCTION("""COMPUTED_VALUE"""),"ZS22")</f>
        <v>ZS22</v>
      </c>
      <c r="B169" s="22" t="str">
        <f>IFERROR(__xludf.DUMMYFUNCTION("""COMPUTED_VALUE"""),"Im HaShem Lo Jivneh Báit")</f>
        <v>Im HaShem Lo Jivneh Báit</v>
      </c>
      <c r="C169" s="22" t="str">
        <f>IFERROR(__xludf.DUMMYFUNCTION("""COMPUTED_VALUE"""),"אם השם לא יבנה בית")</f>
        <v>אם השם לא יבנה בית</v>
      </c>
      <c r="D169"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170">
      <c r="A170" s="22" t="str">
        <f>IFERROR(__xludf.DUMMYFUNCTION("""COMPUTED_VALUE"""),"S01")</f>
        <v>S01</v>
      </c>
      <c r="B170" s="22" t="str">
        <f>IFERROR(__xludf.DUMMYFUNCTION("""COMPUTED_VALUE"""),"Hé haver!")</f>
        <v>Hé haver!</v>
      </c>
      <c r="C170" s="22"/>
      <c r="D170"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171">
      <c r="A171" s="22" t="str">
        <f>IFERROR(__xludf.DUMMYFUNCTION("""COMPUTED_VALUE"""),"ZS11")</f>
        <v>ZS11</v>
      </c>
      <c r="B171" s="22" t="str">
        <f>IFERROR(__xludf.DUMMYFUNCTION("""COMPUTED_VALUE"""),"Havdala")</f>
        <v>Havdala</v>
      </c>
      <c r="C171" s="22" t="str">
        <f>IFERROR(__xludf.DUMMYFUNCTION("""COMPUTED_VALUE"""),"הבדלה")</f>
        <v>הבדלה</v>
      </c>
      <c r="D171"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29" t="s">
        <v>1025</v>
      </c>
      <c r="C1" s="16" t="s">
        <v>1026</v>
      </c>
      <c r="D1" s="16" t="s">
        <v>1027</v>
      </c>
      <c r="E1" s="16" t="s">
        <v>1028</v>
      </c>
      <c r="F1" s="30" t="s">
        <v>1029</v>
      </c>
      <c r="G1" s="31">
        <f>COUNTA(Siron!B:B)-1</f>
        <v>170</v>
      </c>
    </row>
    <row r="2" ht="14.25" customHeight="1">
      <c r="A2" s="16" t="s">
        <v>268</v>
      </c>
      <c r="B2" s="22">
        <f>COUNTIFS(Siron!G:G,Data!A2)</f>
        <v>7</v>
      </c>
      <c r="C2" s="16" t="s">
        <v>1030</v>
      </c>
      <c r="D2" s="16" t="s">
        <v>1031</v>
      </c>
      <c r="E2" s="16" t="s">
        <v>1032</v>
      </c>
      <c r="F2" s="30" t="s">
        <v>1033</v>
      </c>
      <c r="G2" s="31">
        <f>COUNTIF(Siron!H:H,":)")</f>
        <v>168</v>
      </c>
    </row>
    <row r="3" ht="14.25" customHeight="1">
      <c r="A3" s="16" t="s">
        <v>20</v>
      </c>
      <c r="B3" s="22">
        <f>COUNTIFS(Siron!G:G,Data!A3)</f>
        <v>14</v>
      </c>
      <c r="C3" s="16" t="s">
        <v>1034</v>
      </c>
      <c r="D3" s="16" t="s">
        <v>1035</v>
      </c>
      <c r="E3" s="16" t="s">
        <v>1036</v>
      </c>
      <c r="F3" s="30" t="s">
        <v>1037</v>
      </c>
      <c r="G3" s="31">
        <f>G1-G2</f>
        <v>2</v>
      </c>
    </row>
    <row r="4" ht="14.25" customHeight="1">
      <c r="A4" s="22" t="s">
        <v>305</v>
      </c>
      <c r="B4" s="22">
        <f>COUNTIFS(Siron!G:G,Data!A4)</f>
        <v>99</v>
      </c>
      <c r="C4" s="16" t="s">
        <v>1038</v>
      </c>
      <c r="D4" s="16" t="s">
        <v>1039</v>
      </c>
      <c r="E4" s="16" t="s">
        <v>1040</v>
      </c>
      <c r="F4" s="16" t="s">
        <v>1041</v>
      </c>
      <c r="G4" s="16" t="s">
        <v>1042</v>
      </c>
    </row>
    <row r="5" ht="14.25" customHeight="1">
      <c r="A5" s="16" t="s">
        <v>125</v>
      </c>
      <c r="B5" s="22">
        <f>COUNTIFS(Siron!G:G,Data!A5)</f>
        <v>14</v>
      </c>
      <c r="C5" s="16" t="s">
        <v>1043</v>
      </c>
      <c r="D5" s="16" t="s">
        <v>1044</v>
      </c>
      <c r="E5" s="16" t="s">
        <v>1045</v>
      </c>
      <c r="F5" s="16" t="s">
        <v>1046</v>
      </c>
      <c r="G5" s="22" t="str">
        <f>""</f>
        <v/>
      </c>
    </row>
    <row r="6" ht="14.25" customHeight="1">
      <c r="A6" s="16" t="s">
        <v>209</v>
      </c>
      <c r="B6" s="22">
        <f>COUNTIFS(Siron!G:G,Data!A6)</f>
        <v>10</v>
      </c>
      <c r="C6" s="16" t="s">
        <v>1047</v>
      </c>
      <c r="D6" s="16" t="s">
        <v>1048</v>
      </c>
      <c r="E6" s="16" t="s">
        <v>1049</v>
      </c>
    </row>
    <row r="7" ht="14.25" customHeight="1">
      <c r="A7" s="16" t="s">
        <v>864</v>
      </c>
      <c r="B7" s="22">
        <f>COUNTIFS(Siron!G:G,Data!A7)</f>
        <v>24</v>
      </c>
      <c r="C7" s="16" t="s">
        <v>1050</v>
      </c>
      <c r="D7" s="16" t="s">
        <v>1051</v>
      </c>
      <c r="E7" s="16" t="s">
        <v>1052</v>
      </c>
    </row>
    <row r="8" ht="14.25" customHeight="1">
      <c r="A8" s="16" t="s">
        <v>851</v>
      </c>
      <c r="B8" s="22">
        <f>COUNTIFS(Siron!G:G,Data!A8)</f>
        <v>2</v>
      </c>
      <c r="C8" s="16" t="s">
        <v>1053</v>
      </c>
      <c r="D8" s="16" t="s">
        <v>1054</v>
      </c>
      <c r="E8" s="16" t="s">
        <v>1055</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32"/>
      <c r="M1" s="32"/>
      <c r="N1" s="32"/>
      <c r="O1" s="32"/>
      <c r="P1" s="32"/>
      <c r="Q1" s="32"/>
      <c r="R1" s="32"/>
      <c r="S1" s="32"/>
      <c r="T1" s="32"/>
      <c r="U1" s="32"/>
      <c r="V1" s="32"/>
      <c r="W1" s="32"/>
      <c r="X1" s="32"/>
      <c r="Y1" s="32"/>
      <c r="Z1" s="32"/>
    </row>
    <row r="2" ht="24.0" customHeight="1">
      <c r="B2" s="33" t="s">
        <v>1056</v>
      </c>
      <c r="C2" s="34"/>
      <c r="D2" s="35"/>
      <c r="F2" s="33" t="s">
        <v>1057</v>
      </c>
      <c r="G2" s="34"/>
      <c r="H2" s="34"/>
      <c r="I2" s="34"/>
      <c r="J2" s="34"/>
      <c r="K2" s="34"/>
      <c r="L2" s="34"/>
      <c r="M2" s="35"/>
      <c r="N2" s="27"/>
      <c r="O2" s="27"/>
      <c r="P2" s="27"/>
      <c r="Q2" s="27"/>
      <c r="R2" s="27"/>
      <c r="S2" s="27"/>
      <c r="T2" s="27"/>
      <c r="U2" s="27"/>
      <c r="V2" s="27"/>
      <c r="W2" s="27"/>
      <c r="X2" s="27"/>
      <c r="Y2" s="27"/>
      <c r="Z2" s="27"/>
    </row>
    <row r="3">
      <c r="B3" s="36" t="s">
        <v>1058</v>
      </c>
      <c r="C3" s="37" t="s">
        <v>1059</v>
      </c>
      <c r="D3" s="38" t="s">
        <v>1060</v>
      </c>
      <c r="F3" s="36" t="s">
        <v>1061</v>
      </c>
      <c r="G3" s="37" t="s">
        <v>268</v>
      </c>
      <c r="H3" s="39" t="s">
        <v>20</v>
      </c>
      <c r="I3" s="40" t="s">
        <v>305</v>
      </c>
      <c r="J3" s="41" t="s">
        <v>1062</v>
      </c>
      <c r="K3" s="42" t="s">
        <v>209</v>
      </c>
      <c r="L3" s="43" t="s">
        <v>864</v>
      </c>
      <c r="M3" s="44" t="s">
        <v>851</v>
      </c>
      <c r="N3" s="27"/>
      <c r="O3" s="27"/>
      <c r="P3" s="27"/>
      <c r="Q3" s="27"/>
      <c r="R3" s="27"/>
      <c r="S3" s="27"/>
      <c r="T3" s="27"/>
      <c r="U3" s="27"/>
      <c r="V3" s="27"/>
      <c r="W3" s="27"/>
      <c r="X3" s="27"/>
      <c r="Y3" s="27"/>
      <c r="Z3" s="27"/>
    </row>
    <row r="4">
      <c r="B4" s="45" t="s">
        <v>1063</v>
      </c>
      <c r="C4" s="46" t="s">
        <v>1064</v>
      </c>
      <c r="D4" s="47" t="s">
        <v>1065</v>
      </c>
      <c r="F4" s="45"/>
      <c r="G4" s="48" t="s">
        <v>1066</v>
      </c>
      <c r="H4" s="49" t="s">
        <v>1067</v>
      </c>
      <c r="I4" s="50" t="s">
        <v>1068</v>
      </c>
      <c r="J4" s="51" t="s">
        <v>1069</v>
      </c>
      <c r="K4" s="52" t="s">
        <v>1070</v>
      </c>
      <c r="L4" s="53" t="s">
        <v>1071</v>
      </c>
      <c r="M4" s="54" t="s">
        <v>1072</v>
      </c>
      <c r="N4" s="27"/>
      <c r="O4" s="27"/>
      <c r="P4" s="27"/>
      <c r="Q4" s="27"/>
      <c r="R4" s="27"/>
      <c r="S4" s="27"/>
      <c r="T4" s="27"/>
      <c r="U4" s="27"/>
      <c r="V4" s="27"/>
      <c r="W4" s="27"/>
      <c r="X4" s="27"/>
      <c r="Y4" s="27"/>
      <c r="Z4" s="27"/>
    </row>
    <row r="5">
      <c r="B5" s="55" t="s">
        <v>1073</v>
      </c>
      <c r="C5" s="56" t="s">
        <v>1064</v>
      </c>
      <c r="D5" s="57"/>
      <c r="F5" s="55"/>
      <c r="G5" s="58" t="s">
        <v>1074</v>
      </c>
      <c r="H5" s="59"/>
      <c r="I5" s="60"/>
      <c r="J5" s="61"/>
      <c r="K5" s="62"/>
      <c r="L5" s="63" t="s">
        <v>1075</v>
      </c>
      <c r="M5" s="64" t="s">
        <v>1076</v>
      </c>
      <c r="N5" s="27"/>
      <c r="O5" s="27"/>
      <c r="P5" s="27"/>
      <c r="Q5" s="27"/>
      <c r="R5" s="27"/>
      <c r="S5" s="27"/>
      <c r="T5" s="27"/>
      <c r="U5" s="27"/>
      <c r="V5" s="27"/>
      <c r="W5" s="27"/>
      <c r="X5" s="27"/>
      <c r="Y5" s="27"/>
      <c r="Z5" s="27"/>
    </row>
    <row r="6">
      <c r="B6" s="65" t="s">
        <v>1077</v>
      </c>
      <c r="C6" s="66" t="s">
        <v>1078</v>
      </c>
      <c r="D6" s="67"/>
      <c r="F6" s="65"/>
      <c r="G6" s="66"/>
      <c r="H6" s="68"/>
      <c r="I6" s="69"/>
      <c r="J6" s="70"/>
      <c r="K6" s="62"/>
      <c r="L6" s="63" t="s">
        <v>1079</v>
      </c>
      <c r="M6" s="64" t="s">
        <v>1080</v>
      </c>
      <c r="N6" s="27"/>
      <c r="O6" s="27"/>
      <c r="P6" s="27"/>
      <c r="Q6" s="27"/>
      <c r="R6" s="27"/>
      <c r="S6" s="27"/>
      <c r="T6" s="27"/>
      <c r="U6" s="27"/>
      <c r="V6" s="27"/>
      <c r="W6" s="27"/>
      <c r="X6" s="27"/>
      <c r="Y6" s="27"/>
      <c r="Z6" s="27"/>
    </row>
    <row r="7">
      <c r="A7" s="27"/>
      <c r="B7" s="71" t="s">
        <v>1081</v>
      </c>
      <c r="C7" s="72" t="s">
        <v>1078</v>
      </c>
      <c r="D7" s="73"/>
      <c r="E7" s="27"/>
      <c r="F7" s="71"/>
      <c r="G7" s="72"/>
      <c r="H7" s="74"/>
      <c r="I7" s="75"/>
      <c r="J7" s="76"/>
      <c r="K7" s="77"/>
      <c r="L7" s="78"/>
      <c r="M7" s="79"/>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D9" s="27"/>
      <c r="E9" s="27"/>
      <c r="F9" s="27"/>
      <c r="G9" s="27"/>
      <c r="H9" s="27"/>
      <c r="I9" s="27"/>
      <c r="J9" s="27"/>
      <c r="K9" s="27"/>
      <c r="L9" s="27"/>
      <c r="M9" s="27"/>
      <c r="N9" s="27"/>
      <c r="O9" s="27"/>
      <c r="P9" s="27"/>
      <c r="Q9" s="27"/>
      <c r="R9" s="27"/>
      <c r="S9" s="27"/>
      <c r="T9" s="27"/>
      <c r="U9" s="27"/>
      <c r="V9" s="27"/>
      <c r="W9" s="27"/>
      <c r="X9" s="27"/>
      <c r="Y9" s="27"/>
      <c r="Z9" s="27"/>
    </row>
    <row r="10" ht="25.5" customHeight="1">
      <c r="A10" s="27"/>
      <c r="E10" s="27"/>
      <c r="F10" s="33" t="s">
        <v>1082</v>
      </c>
      <c r="G10" s="34"/>
      <c r="H10" s="34"/>
      <c r="I10" s="34"/>
      <c r="J10" s="34"/>
      <c r="K10" s="34"/>
      <c r="L10" s="34"/>
      <c r="M10" s="35"/>
      <c r="N10" s="27"/>
      <c r="O10" s="27"/>
      <c r="P10" s="27"/>
      <c r="Q10" s="27"/>
      <c r="R10" s="27"/>
      <c r="S10" s="27"/>
      <c r="T10" s="27"/>
      <c r="U10" s="27"/>
      <c r="V10" s="27"/>
      <c r="W10" s="27"/>
      <c r="X10" s="27"/>
      <c r="Y10" s="27"/>
      <c r="Z10" s="27"/>
    </row>
    <row r="11">
      <c r="A11" s="27"/>
      <c r="C11" s="33" t="s">
        <v>1083</v>
      </c>
      <c r="D11" s="35"/>
      <c r="E11" s="19"/>
      <c r="F11" s="80" t="s">
        <v>1084</v>
      </c>
      <c r="G11" s="81"/>
      <c r="H11" s="81"/>
      <c r="I11" s="81"/>
      <c r="J11" s="81"/>
      <c r="K11" s="81"/>
      <c r="L11" s="81"/>
      <c r="M11" s="82"/>
      <c r="N11" s="27"/>
      <c r="O11" s="27"/>
      <c r="P11" s="27"/>
      <c r="Q11" s="27"/>
      <c r="R11" s="27"/>
      <c r="S11" s="27"/>
      <c r="T11" s="27"/>
      <c r="U11" s="27"/>
      <c r="V11" s="27"/>
      <c r="W11" s="27"/>
      <c r="X11" s="27"/>
      <c r="Y11" s="27"/>
      <c r="Z11" s="27"/>
    </row>
    <row r="12">
      <c r="A12" s="27"/>
      <c r="C12" s="83" t="s">
        <v>1058</v>
      </c>
      <c r="D12" s="38" t="s">
        <v>1085</v>
      </c>
      <c r="E12" s="19"/>
      <c r="F12" s="84" t="s">
        <v>1086</v>
      </c>
      <c r="G12" s="85"/>
      <c r="H12" s="85"/>
      <c r="I12" s="85"/>
      <c r="J12" s="85"/>
      <c r="K12" s="85"/>
      <c r="L12" s="85"/>
      <c r="M12" s="86"/>
      <c r="N12" s="27"/>
      <c r="O12" s="27"/>
      <c r="P12" s="27"/>
      <c r="Q12" s="27"/>
      <c r="R12" s="27"/>
      <c r="S12" s="27"/>
      <c r="T12" s="27"/>
      <c r="U12" s="27"/>
      <c r="V12" s="27"/>
      <c r="W12" s="27"/>
      <c r="X12" s="27"/>
      <c r="Y12" s="27"/>
      <c r="Z12" s="27"/>
    </row>
    <row r="13">
      <c r="A13" s="27"/>
      <c r="C13" s="87" t="s">
        <v>1087</v>
      </c>
      <c r="D13" s="47" t="s">
        <v>1088</v>
      </c>
      <c r="F13" s="84"/>
      <c r="G13" s="85"/>
      <c r="H13" s="85"/>
      <c r="I13" s="85"/>
      <c r="J13" s="85"/>
      <c r="K13" s="85"/>
      <c r="L13" s="85"/>
      <c r="M13" s="86"/>
      <c r="N13" s="27"/>
      <c r="O13" s="27"/>
      <c r="P13" s="27"/>
      <c r="Q13" s="27"/>
      <c r="R13" s="27"/>
      <c r="S13" s="27"/>
      <c r="T13" s="27"/>
      <c r="U13" s="27"/>
      <c r="V13" s="27"/>
      <c r="W13" s="27"/>
      <c r="X13" s="27"/>
      <c r="Y13" s="27"/>
      <c r="Z13" s="27"/>
    </row>
    <row r="14">
      <c r="A14" s="27"/>
      <c r="C14" s="88" t="s">
        <v>1089</v>
      </c>
      <c r="D14" s="57" t="s">
        <v>1090</v>
      </c>
      <c r="E14" s="27"/>
      <c r="F14" s="84"/>
      <c r="G14" s="85"/>
      <c r="H14" s="85"/>
      <c r="I14" s="85"/>
      <c r="J14" s="85"/>
      <c r="K14" s="85"/>
      <c r="L14" s="85"/>
      <c r="M14" s="86"/>
      <c r="N14" s="27"/>
      <c r="O14" s="27"/>
      <c r="P14" s="27"/>
      <c r="Q14" s="27"/>
      <c r="R14" s="27"/>
      <c r="S14" s="27"/>
      <c r="T14" s="27"/>
      <c r="U14" s="27"/>
      <c r="V14" s="27"/>
      <c r="W14" s="27"/>
      <c r="X14" s="27"/>
      <c r="Y14" s="27"/>
      <c r="Z14" s="27"/>
    </row>
    <row r="15">
      <c r="A15" s="27"/>
      <c r="C15" s="89" t="s">
        <v>1091</v>
      </c>
      <c r="D15" s="67" t="s">
        <v>1088</v>
      </c>
      <c r="E15" s="27"/>
      <c r="F15" s="84"/>
      <c r="G15" s="85"/>
      <c r="H15" s="85"/>
      <c r="I15" s="85"/>
      <c r="J15" s="85"/>
      <c r="K15" s="85"/>
      <c r="L15" s="85"/>
      <c r="M15" s="86"/>
      <c r="N15" s="27"/>
      <c r="O15" s="27"/>
      <c r="P15" s="27"/>
      <c r="Q15" s="27"/>
      <c r="R15" s="27"/>
      <c r="S15" s="27"/>
      <c r="T15" s="27"/>
      <c r="U15" s="27"/>
      <c r="V15" s="27"/>
      <c r="W15" s="27"/>
      <c r="X15" s="27"/>
      <c r="Y15" s="27"/>
      <c r="Z15" s="27"/>
    </row>
    <row r="16">
      <c r="A16" s="27"/>
      <c r="C16" s="90" t="s">
        <v>1092</v>
      </c>
      <c r="D16" s="73" t="s">
        <v>1093</v>
      </c>
      <c r="E16" s="27"/>
      <c r="F16" s="91"/>
      <c r="G16" s="92"/>
      <c r="H16" s="92"/>
      <c r="I16" s="92"/>
      <c r="J16" s="92"/>
      <c r="K16" s="92"/>
      <c r="L16" s="92"/>
      <c r="M16" s="93"/>
      <c r="N16" s="27"/>
      <c r="O16" s="27"/>
      <c r="P16" s="27"/>
      <c r="Q16" s="27"/>
      <c r="R16" s="27"/>
      <c r="S16" s="27"/>
      <c r="T16" s="27"/>
      <c r="U16" s="27"/>
      <c r="V16" s="27"/>
      <c r="W16" s="27"/>
      <c r="X16" s="27"/>
      <c r="Y16" s="27"/>
      <c r="Z16" s="27"/>
    </row>
    <row r="17">
      <c r="A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D19" s="27"/>
      <c r="E19" s="27"/>
      <c r="F19" s="27"/>
      <c r="H19" s="27"/>
      <c r="I19" s="27"/>
      <c r="J19" s="27"/>
      <c r="K19" s="27"/>
      <c r="L19" s="27"/>
      <c r="M19" s="27"/>
      <c r="N19" s="27"/>
      <c r="O19" s="27"/>
      <c r="P19" s="27"/>
      <c r="Q19" s="27"/>
      <c r="R19" s="27"/>
      <c r="S19" s="27"/>
      <c r="T19" s="27"/>
      <c r="U19" s="27"/>
      <c r="V19" s="27"/>
      <c r="W19" s="27"/>
      <c r="X19" s="27"/>
      <c r="Y19" s="27"/>
      <c r="Z19" s="27"/>
    </row>
    <row r="20">
      <c r="A20" s="27"/>
      <c r="D20" s="27"/>
      <c r="E20" s="27"/>
      <c r="F20" s="27"/>
      <c r="H20" s="27"/>
      <c r="I20" s="27"/>
      <c r="J20" s="27"/>
      <c r="K20" s="27"/>
      <c r="L20" s="27"/>
      <c r="M20" s="27"/>
      <c r="N20" s="27"/>
      <c r="O20" s="27"/>
      <c r="P20" s="27"/>
      <c r="Q20" s="27"/>
      <c r="R20" s="27"/>
      <c r="S20" s="27"/>
      <c r="T20" s="27"/>
      <c r="U20" s="27"/>
      <c r="V20" s="27"/>
      <c r="W20" s="27"/>
      <c r="X20" s="27"/>
      <c r="Y20" s="27"/>
      <c r="Z20" s="27"/>
    </row>
    <row r="21">
      <c r="A21" s="27"/>
      <c r="D21" s="27"/>
      <c r="E21" s="27"/>
      <c r="F21" s="27"/>
      <c r="H21" s="27"/>
      <c r="I21" s="27"/>
      <c r="J21" s="27"/>
      <c r="K21" s="27"/>
      <c r="L21" s="27"/>
      <c r="M21" s="27"/>
      <c r="N21" s="27"/>
      <c r="O21" s="27"/>
      <c r="P21" s="27"/>
      <c r="Q21" s="27"/>
      <c r="R21" s="27"/>
      <c r="S21" s="27"/>
      <c r="T21" s="27"/>
      <c r="U21" s="27"/>
      <c r="V21" s="27"/>
      <c r="W21" s="27"/>
      <c r="X21" s="27"/>
      <c r="Y21" s="27"/>
      <c r="Z21" s="27"/>
    </row>
    <row r="22">
      <c r="A22" s="27"/>
      <c r="D22" s="27"/>
      <c r="E22" s="27"/>
      <c r="F22" s="27"/>
      <c r="H22" s="27"/>
      <c r="I22" s="27"/>
      <c r="J22" s="27"/>
      <c r="K22" s="27"/>
      <c r="L22" s="27"/>
      <c r="M22" s="27"/>
      <c r="N22" s="27"/>
      <c r="O22" s="27"/>
      <c r="P22" s="27"/>
      <c r="Q22" s="27"/>
      <c r="R22" s="27"/>
      <c r="S22" s="27"/>
      <c r="T22" s="27"/>
      <c r="U22" s="27"/>
      <c r="V22" s="27"/>
      <c r="W22" s="27"/>
      <c r="X22" s="27"/>
      <c r="Y22" s="27"/>
      <c r="Z22" s="27"/>
    </row>
    <row r="23">
      <c r="A23" s="27"/>
      <c r="D23" s="27"/>
      <c r="E23" s="27"/>
      <c r="F23" s="27"/>
      <c r="H23" s="27"/>
      <c r="I23" s="27"/>
      <c r="J23" s="27"/>
      <c r="K23" s="27"/>
      <c r="L23" s="27"/>
      <c r="M23" s="27"/>
      <c r="N23" s="27"/>
      <c r="O23" s="27"/>
      <c r="P23" s="27"/>
      <c r="Q23" s="27"/>
      <c r="R23" s="27"/>
      <c r="S23" s="27"/>
      <c r="T23" s="27"/>
      <c r="U23" s="27"/>
      <c r="V23" s="27"/>
      <c r="W23" s="27"/>
      <c r="X23" s="27"/>
      <c r="Y23" s="27"/>
      <c r="Z23" s="27"/>
    </row>
    <row r="24">
      <c r="A24" s="27"/>
      <c r="B24" s="27"/>
      <c r="E24" s="27"/>
      <c r="F24" s="27"/>
      <c r="H24" s="27"/>
      <c r="I24" s="27"/>
      <c r="J24" s="27"/>
      <c r="K24" s="27"/>
      <c r="L24" s="27"/>
      <c r="M24" s="27"/>
      <c r="N24" s="27"/>
      <c r="O24" s="27"/>
      <c r="P24" s="27"/>
      <c r="Q24" s="27"/>
      <c r="R24" s="27"/>
      <c r="S24" s="27"/>
      <c r="T24" s="27"/>
      <c r="U24" s="27"/>
      <c r="V24" s="27"/>
      <c r="W24" s="27"/>
      <c r="X24" s="27"/>
      <c r="Y24" s="27"/>
      <c r="Z24" s="27"/>
    </row>
    <row r="25">
      <c r="E25" s="27"/>
      <c r="F25" s="27"/>
      <c r="G25" s="27"/>
      <c r="H25" s="27"/>
      <c r="I25" s="27"/>
      <c r="J25" s="27"/>
      <c r="K25" s="27"/>
      <c r="L25" s="27"/>
      <c r="M25" s="27"/>
      <c r="N25" s="27"/>
      <c r="O25" s="27"/>
      <c r="P25" s="27"/>
      <c r="Q25" s="27"/>
      <c r="R25" s="27"/>
      <c r="S25" s="27"/>
      <c r="T25" s="27"/>
      <c r="U25" s="27"/>
      <c r="V25" s="27"/>
      <c r="W25" s="27"/>
      <c r="X25" s="27"/>
      <c r="Y25" s="27"/>
      <c r="Z25" s="27"/>
    </row>
    <row r="26">
      <c r="E26" s="27"/>
      <c r="F26" s="27"/>
      <c r="G26" s="27"/>
      <c r="H26" s="27"/>
      <c r="I26" s="27"/>
      <c r="J26" s="27"/>
      <c r="K26" s="27"/>
      <c r="L26" s="27"/>
      <c r="M26" s="27"/>
      <c r="N26" s="27"/>
      <c r="O26" s="27"/>
      <c r="P26" s="27"/>
      <c r="Q26" s="27"/>
      <c r="R26" s="27"/>
      <c r="S26" s="27"/>
      <c r="T26" s="27"/>
      <c r="U26" s="27"/>
      <c r="V26" s="27"/>
      <c r="W26" s="27"/>
      <c r="X26" s="27"/>
      <c r="Y26" s="27"/>
      <c r="Z26" s="27"/>
    </row>
    <row r="27">
      <c r="E27" s="27"/>
      <c r="F27" s="27"/>
      <c r="G27" s="27"/>
      <c r="H27" s="27"/>
      <c r="I27" s="27"/>
      <c r="J27" s="27"/>
      <c r="K27" s="27"/>
      <c r="L27" s="27"/>
      <c r="M27" s="27"/>
      <c r="N27" s="27"/>
      <c r="O27" s="27"/>
      <c r="P27" s="27"/>
      <c r="Q27" s="27"/>
      <c r="R27" s="27"/>
      <c r="S27" s="27"/>
      <c r="T27" s="27"/>
      <c r="U27" s="27"/>
      <c r="V27" s="27"/>
      <c r="W27" s="27"/>
      <c r="X27" s="27"/>
      <c r="Y27" s="27"/>
      <c r="Z27" s="27"/>
    </row>
    <row r="28">
      <c r="E28" s="27"/>
      <c r="F28" s="27"/>
      <c r="G28" s="27"/>
      <c r="H28" s="27"/>
      <c r="I28" s="27"/>
      <c r="J28" s="27"/>
      <c r="K28" s="27"/>
      <c r="L28" s="27"/>
      <c r="M28" s="27"/>
      <c r="N28" s="27"/>
      <c r="O28" s="27"/>
      <c r="P28" s="27"/>
      <c r="Q28" s="27"/>
      <c r="R28" s="27"/>
      <c r="S28" s="27"/>
      <c r="T28" s="27"/>
      <c r="U28" s="27"/>
      <c r="V28" s="27"/>
      <c r="W28" s="27"/>
      <c r="X28" s="27"/>
      <c r="Y28" s="27"/>
      <c r="Z28" s="27"/>
    </row>
    <row r="29">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1094</v>
      </c>
    </row>
    <row r="2">
      <c r="A2" s="16" t="s">
        <v>1095</v>
      </c>
    </row>
    <row r="3">
      <c r="A3" s="16" t="s">
        <v>1096</v>
      </c>
    </row>
    <row r="4">
      <c r="A4" s="16" t="s">
        <v>1097</v>
      </c>
    </row>
  </sheetData>
  <drawing r:id="rId1"/>
</worksheet>
</file>